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40" windowHeight="9135" activeTab="0"/>
  </bookViews>
  <sheets>
    <sheet name="прил №5 (20.12.2006)" sheetId="1" r:id="rId1"/>
  </sheets>
  <definedNames>
    <definedName name="_xlnm.Print_Area" localSheetId="0">'прил №5 (20.12.2006)'!$A$1:$R$356</definedName>
  </definedNames>
  <calcPr fullCalcOnLoad="1" fullPrecision="0"/>
</workbook>
</file>

<file path=xl/sharedStrings.xml><?xml version="1.0" encoding="utf-8"?>
<sst xmlns="http://schemas.openxmlformats.org/spreadsheetml/2006/main" count="1177" uniqueCount="481">
  <si>
    <t>Коммунальное хозяйство</t>
  </si>
  <si>
    <t xml:space="preserve">Образование </t>
  </si>
  <si>
    <t xml:space="preserve">Социальная политика </t>
  </si>
  <si>
    <t>ВСЕГО РАСХОДОВ</t>
  </si>
  <si>
    <t>КЦСР</t>
  </si>
  <si>
    <t>Органы внутренних дел</t>
  </si>
  <si>
    <t xml:space="preserve"> Жилищное хозяйство</t>
  </si>
  <si>
    <t xml:space="preserve">Жилищно - коммунальное хозяйство </t>
  </si>
  <si>
    <t>Дошкольное образование</t>
  </si>
  <si>
    <t>Общее образование</t>
  </si>
  <si>
    <t>школы</t>
  </si>
  <si>
    <t>интернаты</t>
  </si>
  <si>
    <t>внешкольная работа</t>
  </si>
  <si>
    <t>260</t>
  </si>
  <si>
    <t>261</t>
  </si>
  <si>
    <t>МОУ "Детский дом"</t>
  </si>
  <si>
    <t xml:space="preserve"> МУК "Дворец Культуры"</t>
  </si>
  <si>
    <t xml:space="preserve"> МУК театр кукол " Золотой ключик "</t>
  </si>
  <si>
    <t xml:space="preserve"> МУК "Театр оперетты"</t>
  </si>
  <si>
    <t>МУК ПКиО им. С.М.Кирова</t>
  </si>
  <si>
    <t>МУК Центр досуга</t>
  </si>
  <si>
    <t xml:space="preserve">Здравоохранение </t>
  </si>
  <si>
    <t>327</t>
  </si>
  <si>
    <t>Периодическая печать и издательства</t>
  </si>
  <si>
    <t>027</t>
  </si>
  <si>
    <t>Администрация ЗАТО г. Железногорск</t>
  </si>
  <si>
    <t>Городской Совет ЗАТО г. Железногорск</t>
  </si>
  <si>
    <t>КУМИ администрации ЗАТО г. Железногорск</t>
  </si>
  <si>
    <t>Управление образованием администрации ЗАТО г. Железногорск</t>
  </si>
  <si>
    <t>Комитет по физкультуре и спорту администрации ЗАТО г. Железногорск</t>
  </si>
  <si>
    <t>МУ "Центр  социального  обслуживания"</t>
  </si>
  <si>
    <t xml:space="preserve"> МУК Музейно-выставочный центр</t>
  </si>
  <si>
    <t>Территориальная избирательная комиссия г. Железногорск</t>
  </si>
  <si>
    <t>МОУ ДОД "ДШИ № 2"</t>
  </si>
  <si>
    <t>Отдел по землепользованию администрации ЗАТО г. Железногорск</t>
  </si>
  <si>
    <t>Управление общественной безопасностью и режима администрации ЗАТО г. Железногорск</t>
  </si>
  <si>
    <t xml:space="preserve"> МУК ЦГБ им. Горького </t>
  </si>
  <si>
    <t>Управление поселками администрации ЗАТО г.Железногорск</t>
  </si>
  <si>
    <t xml:space="preserve"> МУК ДК  "Старт"</t>
  </si>
  <si>
    <t>МУ "Центр социальной помощи семье и детям"</t>
  </si>
  <si>
    <t>Управление по дошкольному образованию администрации ЗАТО г.Железногорск</t>
  </si>
  <si>
    <t>Общегосударственные вопросы</t>
  </si>
  <si>
    <t>0302</t>
  </si>
  <si>
    <t>0300</t>
  </si>
  <si>
    <t>0309</t>
  </si>
  <si>
    <t>0310</t>
  </si>
  <si>
    <t>0400</t>
  </si>
  <si>
    <t>Национальная экономика</t>
  </si>
  <si>
    <t>0407</t>
  </si>
  <si>
    <t>Лесное хозяйство</t>
  </si>
  <si>
    <t>0408</t>
  </si>
  <si>
    <t>Транспорт</t>
  </si>
  <si>
    <t>0500</t>
  </si>
  <si>
    <t>0501</t>
  </si>
  <si>
    <t>МП "ГЖКУ" (программа замена лифтов)</t>
  </si>
  <si>
    <t>0502</t>
  </si>
  <si>
    <t>МП "ЖКХ" (баня)</t>
  </si>
  <si>
    <t>0700</t>
  </si>
  <si>
    <t>0701</t>
  </si>
  <si>
    <t>0702</t>
  </si>
  <si>
    <t>МОУ "Детская  школа  искусств им. Мусоргского"</t>
  </si>
  <si>
    <t>МОУ "Детская художественная школа"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</si>
  <si>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</si>
  <si>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</si>
  <si>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</si>
  <si>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</si>
  <si>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</si>
  <si>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</si>
  <si>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0900</t>
  </si>
  <si>
    <t>0901</t>
  </si>
  <si>
    <t>0902</t>
  </si>
  <si>
    <t xml:space="preserve">Спорт и физическая культура </t>
  </si>
  <si>
    <t>0107</t>
  </si>
  <si>
    <t>0113</t>
  </si>
  <si>
    <t>1000</t>
  </si>
  <si>
    <t>1002</t>
  </si>
  <si>
    <t>1003</t>
  </si>
  <si>
    <t>Управление социальной защиты населения администрации ЗАТО г. Железногорск,</t>
  </si>
  <si>
    <t>1004</t>
  </si>
  <si>
    <t>Борьба с беспризорностью, опека, попечительство</t>
  </si>
  <si>
    <t>1006</t>
  </si>
  <si>
    <t xml:space="preserve">Управление градостроительства </t>
  </si>
  <si>
    <t>Комитет по физкультуре и спорту администрации ЗАТО г.Железногорск</t>
  </si>
  <si>
    <t>0405</t>
  </si>
  <si>
    <t>МУ "Горветстанция"</t>
  </si>
  <si>
    <t>0804</t>
  </si>
  <si>
    <t>0100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</si>
  <si>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</si>
  <si>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</si>
  <si>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КВР</t>
  </si>
  <si>
    <t>Глава законодательной власти (представительной) власти местного самоуправления</t>
  </si>
  <si>
    <t>026</t>
  </si>
  <si>
    <t>Члены законодательной (представительной)власти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</si>
  <si>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</si>
  <si>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субъекта Российской Федерации, местных администраций</t>
  </si>
  <si>
    <t>Глава исполнительной власти местного самоуправления</t>
  </si>
  <si>
    <t>Территориальные органы</t>
  </si>
  <si>
    <t>042</t>
  </si>
  <si>
    <t>0106</t>
  </si>
  <si>
    <t>Обеспечение деятельности финансовых, налоговых  и таможенных органов и органов надзора</t>
  </si>
  <si>
    <t>Обеспечение проведения выборов и референдумов</t>
  </si>
  <si>
    <t>092</t>
  </si>
  <si>
    <t>097</t>
  </si>
  <si>
    <t>098</t>
  </si>
  <si>
    <t>184</t>
  </si>
  <si>
    <t>0115</t>
  </si>
  <si>
    <t>Другие общегосударственные вопросы</t>
  </si>
  <si>
    <t>Детские дошкольнные учреждения</t>
  </si>
  <si>
    <t>452</t>
  </si>
  <si>
    <t>253</t>
  </si>
  <si>
    <t>Управление образованием администрации ЗАТО г.Железногорск (прочие расходы)</t>
  </si>
  <si>
    <t>0801</t>
  </si>
  <si>
    <t xml:space="preserve">Культура </t>
  </si>
  <si>
    <t>453</t>
  </si>
  <si>
    <t>Другие вопросы в области социальной политики</t>
  </si>
  <si>
    <t>483</t>
  </si>
  <si>
    <t>Проведение выборов в законодательные (представительные) органы власти местного самоуправления</t>
  </si>
  <si>
    <t>Члены избирательной комиссии местного самоуправления</t>
  </si>
  <si>
    <t>Другие вопросы в области национальной экономики</t>
  </si>
  <si>
    <t>0411</t>
  </si>
  <si>
    <t>Отдел по землепользованию администрации ЗАТО г.Железногорск</t>
  </si>
  <si>
    <t>406</t>
  </si>
  <si>
    <t>повышение з/пл</t>
  </si>
  <si>
    <t xml:space="preserve">Комитет по управлению муниципальными заказами администрации ЗАТО г.Железногорск  </t>
  </si>
  <si>
    <t xml:space="preserve"> текущие расходы на 2004 год (на 01.09.2004)</t>
  </si>
  <si>
    <t>заявка           на текущие расходы на 2005 год</t>
  </si>
  <si>
    <t>МП "Гортеплоэнерго" (содержание котельной лагеря "Горный")</t>
  </si>
  <si>
    <t>001 00 00</t>
  </si>
  <si>
    <t>020 00 00</t>
  </si>
  <si>
    <t>202 00 00</t>
  </si>
  <si>
    <t>218 00 00</t>
  </si>
  <si>
    <t>219 00 00</t>
  </si>
  <si>
    <t xml:space="preserve">МУК ЦГДБ им. Гайдара </t>
  </si>
  <si>
    <t>340 00 00</t>
  </si>
  <si>
    <t>290 00 00</t>
  </si>
  <si>
    <t>317 00 00</t>
  </si>
  <si>
    <t>350 00 00</t>
  </si>
  <si>
    <t>351 00 00</t>
  </si>
  <si>
    <t>771 00 00</t>
  </si>
  <si>
    <t>МУ "УКС" (жилищое строительство)</t>
  </si>
  <si>
    <t>МУ "УКС" (коммунальное строительство)</t>
  </si>
  <si>
    <t>МУ "УКС" (капитальный ремонт)</t>
  </si>
  <si>
    <t>МУ "УКС" (капитальный ремонт школ)</t>
  </si>
  <si>
    <t>092 00 00</t>
  </si>
  <si>
    <t>511 00 00</t>
  </si>
  <si>
    <t>505 00 00</t>
  </si>
  <si>
    <t>453 00 00</t>
  </si>
  <si>
    <t>440 00 00</t>
  </si>
  <si>
    <t>442 00 00</t>
  </si>
  <si>
    <t>443 00 00</t>
  </si>
  <si>
    <t>441 00 00</t>
  </si>
  <si>
    <t>452 00 00</t>
  </si>
  <si>
    <t>432 00 00</t>
  </si>
  <si>
    <t>421 00 00</t>
  </si>
  <si>
    <t>422 00 00</t>
  </si>
  <si>
    <t>423 00 00</t>
  </si>
  <si>
    <t>424 00 00</t>
  </si>
  <si>
    <t>420 00 00</t>
  </si>
  <si>
    <t xml:space="preserve"> расходы на 2005 год, тыс.руб.</t>
  </si>
  <si>
    <t>Резервные фонды</t>
  </si>
  <si>
    <t>Предупреждение и ликвидация последствий чрезвычайных ситуаций и стихийных бедствий, гражданская оборона</t>
  </si>
  <si>
    <t>Здравоохранение и спорт</t>
  </si>
  <si>
    <t>Комитет по управлению муниципальными заказами администрации ЗАТО г.Железногорск  (благоустройство)</t>
  </si>
  <si>
    <t>МП "ПАТП"</t>
  </si>
  <si>
    <t>МП "ПАТП" (приобретение)</t>
  </si>
  <si>
    <t>197</t>
  </si>
  <si>
    <t>МП "ГЖКУ" (осуществление регистрационно-паспортного учета граждан)</t>
  </si>
  <si>
    <t xml:space="preserve">470 00 00 </t>
  </si>
  <si>
    <t>005</t>
  </si>
  <si>
    <t>400 00 00</t>
  </si>
  <si>
    <t>Мероприятия по гражданской обороне</t>
  </si>
  <si>
    <t>Мероприятия по предупреждению и ликвидации последствий чрезвычайных ситуаций и стихийных бедствий</t>
  </si>
  <si>
    <t>263 00 00</t>
  </si>
  <si>
    <t>506 00 00</t>
  </si>
  <si>
    <t xml:space="preserve">Расходы на содержание и обеспечение деятельности </t>
  </si>
  <si>
    <t>вещевое довольствие</t>
  </si>
  <si>
    <t>продовольственное обеспечение</t>
  </si>
  <si>
    <t>военный персонал и сотрудники правоохранительных органов</t>
  </si>
  <si>
    <t>гражданский персонал</t>
  </si>
  <si>
    <t>обеспечение функционирования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</si>
  <si>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</si>
  <si>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Управление внутренних дел ЗАТО г. Железногорск  всего, в том числе:</t>
  </si>
  <si>
    <t xml:space="preserve">Медицинский вытрезвитель при УВД ЗАТО г. Железногорск всего, в том числе: </t>
  </si>
  <si>
    <t xml:space="preserve">Управление общественной безопасностью и режима администрации ЗАТО г.Железногорск </t>
  </si>
  <si>
    <t>Комитет по управлению муниципальными заказами администрации ЗАТО г.Железногорск  (дорожно-мостовое хозяйство)</t>
  </si>
  <si>
    <t>315 00 00</t>
  </si>
  <si>
    <t>0600</t>
  </si>
  <si>
    <t>Охрана окружающей среды</t>
  </si>
  <si>
    <t>0601</t>
  </si>
  <si>
    <t>Мероприятия по сбору и удалению твердых и жидких отходов</t>
  </si>
  <si>
    <t xml:space="preserve">Комитет по управлению муниципальными заказами администрации ЗАТО г.Железногорск (полигон твердых бытовых отходов) </t>
  </si>
  <si>
    <t xml:space="preserve">Управление социальной защиты населения администрации ЗАТО г.Железногорск </t>
  </si>
  <si>
    <t>предоставление льгот ветеранам труда</t>
  </si>
  <si>
    <t>предоставление льгот труженикам тыла</t>
  </si>
  <si>
    <t>ежемесячное пособие на ребенка гражанам, имеющим детей</t>
  </si>
  <si>
    <t>предоставление гражданам субсидий на оплату жилищно-коммунальных услуг</t>
  </si>
  <si>
    <t>Социальное обеспечение населения</t>
  </si>
  <si>
    <t xml:space="preserve">Национальная безопасность и правоохранительная деятельность </t>
  </si>
  <si>
    <t>802</t>
  </si>
  <si>
    <t>804</t>
  </si>
  <si>
    <t>расходы за счет субвенции на льготы</t>
  </si>
  <si>
    <t>805</t>
  </si>
  <si>
    <t>806</t>
  </si>
  <si>
    <t>807</t>
  </si>
  <si>
    <t>Расходы связанные с предоставлением льгот репрессированным</t>
  </si>
  <si>
    <t>Расходы связанные с предоставлением льгот Героям Социалистического труда, СССР</t>
  </si>
  <si>
    <t>808</t>
  </si>
  <si>
    <t>КУМИ администрации ЗАТО г.Железногорск (взнос в уставный капитал)</t>
  </si>
  <si>
    <t>801 00 00</t>
  </si>
  <si>
    <t>512 00 01</t>
  </si>
  <si>
    <t>522 00 10</t>
  </si>
  <si>
    <t>522 00 50</t>
  </si>
  <si>
    <t>522 00 60</t>
  </si>
  <si>
    <t>522 00 70</t>
  </si>
  <si>
    <t>522 00 30</t>
  </si>
  <si>
    <t>522 00 40</t>
  </si>
  <si>
    <t>522 00 80</t>
  </si>
  <si>
    <t>457 00 01</t>
  </si>
  <si>
    <t>Администрация п.Подгорный</t>
  </si>
  <si>
    <t>Финансовое управление (Управление ГПС № 2 ГУГПС России)</t>
  </si>
  <si>
    <t>351 00 10</t>
  </si>
  <si>
    <t>351 00 20</t>
  </si>
  <si>
    <t>522 00 90</t>
  </si>
  <si>
    <t>МУ "УКС" (внедрение энергосберегающих и теплосберегающих технологий)</t>
  </si>
  <si>
    <t>522 00 71</t>
  </si>
  <si>
    <t xml:space="preserve">522 00 71 </t>
  </si>
  <si>
    <t>522 00 72</t>
  </si>
  <si>
    <t>МУ "УКС" (мероприятия по обеспечению надежности систем тепловодоснабжения и канализации)</t>
  </si>
  <si>
    <t xml:space="preserve">351 00 30 </t>
  </si>
  <si>
    <t>вносимые изменения</t>
  </si>
  <si>
    <t xml:space="preserve"> 005</t>
  </si>
  <si>
    <t>расходы за счет предпринимательской деятельности</t>
  </si>
  <si>
    <t>Управление образованием администрации ЗАТО г.Железногорск (расходы за счет предпринимательской деятельности)</t>
  </si>
  <si>
    <t>102 00 00</t>
  </si>
  <si>
    <t>КУМИ администрации ЗАТО г.Железногорск (целевая программа за счет средств ОЯТ)</t>
  </si>
  <si>
    <t>Управление ГПС № 2 ГУГПС России</t>
  </si>
  <si>
    <t>КУМИ администрации ЗАТО г.Железногорск  (приобретение оборудования)</t>
  </si>
  <si>
    <t xml:space="preserve"> КУМИ администрации ЗАТО г.Железногорск (приобретение оборудования)</t>
  </si>
  <si>
    <t>Расходы связанные с реализацией Федеральных законов от  12.01.1996 № 8-ФЗ "О погребении и похоронном деле", от 07.08.2000 № 122-ФЗ (в редакции от 22.08.2004 №122-ФЗ) "О порядке установления стипендий и социальных выплат в РФ", от  17.07.1999 № 178-ФЗ "О г</t>
  </si>
  <si>
    <t>Расходы связанные с реализацией Указа Президента РФ от 05.05.1992 № 431 "О мерах по социальной поддержке многодетных семей", постановления Правительства РФ от 13.08.1997 № 1005 "Об упорядочении бесплатного обеспечения детей первого-второго года жизни спец</t>
  </si>
  <si>
    <t>485 00 00</t>
  </si>
  <si>
    <t>МУ "УКС" ( строительство жилого дома № 9/6 п. Подгорный за счет средств адресно-инвестиционной программы)</t>
  </si>
  <si>
    <t>522 00 73</t>
  </si>
  <si>
    <t>522 00 79</t>
  </si>
  <si>
    <t>522 00 78</t>
  </si>
  <si>
    <t>522 00 76</t>
  </si>
  <si>
    <t>522 00 74</t>
  </si>
  <si>
    <t>522 00 77</t>
  </si>
  <si>
    <t>522 01 70</t>
  </si>
  <si>
    <t>522 03 70</t>
  </si>
  <si>
    <t>522 02 70</t>
  </si>
  <si>
    <t>увеличение расходов за счет доходов от предпринимательской деятельности</t>
  </si>
  <si>
    <t>КУМЗ (капитальный ремонт аптеки п.Подгорный)</t>
  </si>
  <si>
    <t>338 00 00</t>
  </si>
  <si>
    <t>522 04 70</t>
  </si>
  <si>
    <t>522 05 70</t>
  </si>
  <si>
    <t>260 00 00</t>
  </si>
  <si>
    <t>КУМЗ администрации ЗАТО г.Железногорск (капитальный ремонт жилищного фонда за счет средств программы развития)</t>
  </si>
  <si>
    <t>МП "ГЖКУ" (замена электроплит для участников Великой отечественной войны за счет средств программы развития)</t>
  </si>
  <si>
    <t>МУ "УКС" (инженерные коммуникации для индивидуального жилищного строительства за счет средств программы развития)</t>
  </si>
  <si>
    <t>МП "Гортеплоэнерго" (ввод в пробную и временную эксплуатацию строящихся очистных сооружений за счет средств программы развития)</t>
  </si>
  <si>
    <t>МУ "УКС" (капитальный ремонт здания Музейно-выставочного центра за счет средств программы развития)</t>
  </si>
  <si>
    <t>522 06 70</t>
  </si>
  <si>
    <t xml:space="preserve">ФГУЗ ЦМСЧ-51 ФМБА России </t>
  </si>
  <si>
    <t xml:space="preserve">Финансовое управление администрации ЗАТО г.Железногорск (ФГУЗ ЦМСЧ-51 ФМБА России) </t>
  </si>
  <si>
    <t>Финансовое управление администрации ЗАТО г.Железногорск (ФГУЗ ЦГСЭН -51 ФМБА России)</t>
  </si>
  <si>
    <t>Администрация ЗАТО г.Железногорск (выплата молодежной премии)</t>
  </si>
  <si>
    <t>436 00 00</t>
  </si>
  <si>
    <t xml:space="preserve">Комитет по управлению муниципальными заказами администрации ЗАТО г.Железногорск  (МП "Горлесхоз" профилактика и подготовка к тушению лесных пожаров) </t>
  </si>
  <si>
    <t>Комитет по управлению муниципальными заказами администрации ЗАТО г.Железногорск (МП "Горлесхоз" лесоохранные и лесовосстановительные мероприятия)</t>
  </si>
  <si>
    <t>340 00 01</t>
  </si>
  <si>
    <t>522 07 70</t>
  </si>
  <si>
    <t>МУ "УКС" (изготовление ПСД на расширение городского кладбища)</t>
  </si>
  <si>
    <t xml:space="preserve">351 00 00 </t>
  </si>
  <si>
    <t>450 00 00</t>
  </si>
  <si>
    <t>469 00 00</t>
  </si>
  <si>
    <t>455</t>
  </si>
  <si>
    <t xml:space="preserve">469 00 00 </t>
  </si>
  <si>
    <t>410</t>
  </si>
  <si>
    <t>755</t>
  </si>
  <si>
    <t>482</t>
  </si>
  <si>
    <t>506</t>
  </si>
  <si>
    <t>519 00 00</t>
  </si>
  <si>
    <t>482 00 00</t>
  </si>
  <si>
    <t xml:space="preserve">350 00 00 </t>
  </si>
  <si>
    <t xml:space="preserve"> МУ "УКС" (изготовление ПСД)</t>
  </si>
  <si>
    <t>Администрация ЗАТО Железногорск (Управление городского хозяйства   (дорожно-мостовое хозяйство)</t>
  </si>
  <si>
    <t>Администарция ЗАТО Железногорск (Управление городского хозяйства) (благоустройство)</t>
  </si>
  <si>
    <t xml:space="preserve">Управление по делам ГО и ЧС администрации ЗАТО г.Железногорск </t>
  </si>
  <si>
    <t>Администрация ЗАТО Железногорск (Управление городского хозяйства (капитальный ремонт жилищного фонда за счет средств программы развития)</t>
  </si>
  <si>
    <t>Приложение № 4</t>
  </si>
  <si>
    <t>Средства к распределению при фактическом поступлении возвратов кредитов на развитие материально-технической базы муниципальных предприятий и учреждений</t>
  </si>
  <si>
    <t>№ строки</t>
  </si>
  <si>
    <t>Наименование  показателя бюджетной классификации</t>
  </si>
  <si>
    <t>Раздел-подраздел</t>
  </si>
  <si>
    <t>Целевая статья</t>
  </si>
  <si>
    <t>Вид расходов</t>
  </si>
  <si>
    <t>(тыс.руб.)</t>
  </si>
  <si>
    <t xml:space="preserve"> Сумма на год</t>
  </si>
  <si>
    <t>Руководство и управление в сфере установленных функций</t>
  </si>
  <si>
    <t>0010000</t>
  </si>
  <si>
    <t>Центральный аппарат</t>
  </si>
  <si>
    <t>0013</t>
  </si>
  <si>
    <t>Резервные фонды органов местного самоуправления</t>
  </si>
  <si>
    <t>202</t>
  </si>
  <si>
    <t>Обеспечение приватизации и проведение предпродажной подготовки объектов приватизации</t>
  </si>
  <si>
    <t xml:space="preserve">Реализация государственных функций, связанных с общегосударственным управлением </t>
  </si>
  <si>
    <t>0920000</t>
  </si>
  <si>
    <t>520</t>
  </si>
  <si>
    <t>Финансовая поддержка на возвратной основе</t>
  </si>
  <si>
    <t>Региональные целевые программы</t>
  </si>
  <si>
    <t>Воинские формирования (органы, подразделения)</t>
  </si>
  <si>
    <t>2020000</t>
  </si>
  <si>
    <t>220</t>
  </si>
  <si>
    <t>221</t>
  </si>
  <si>
    <t>Военный персонал и сотрудники правоохранительных органов, имеющие специальные звания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</si>
  <si>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</si>
  <si>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</si>
  <si>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2190000</t>
  </si>
  <si>
    <t>Подготовка населения и организаций к действиям в чрезвычайной ситуации в мирное и военное время</t>
  </si>
  <si>
    <t>352</t>
  </si>
  <si>
    <t>Профилактика и подготовка к тушению лесных пожаров</t>
  </si>
  <si>
    <t>Охрана, восстановление и использование лесов</t>
  </si>
  <si>
    <t>353</t>
  </si>
  <si>
    <t>Лесоохранные и лесовосстановительные мероприятия</t>
  </si>
  <si>
    <t>3150000</t>
  </si>
  <si>
    <t>365</t>
  </si>
  <si>
    <t>Дорожное хозяйство</t>
  </si>
  <si>
    <t>Отдельные мероприятия в области дорожного хозяйства</t>
  </si>
  <si>
    <t>3170000</t>
  </si>
  <si>
    <t>366</t>
  </si>
  <si>
    <t>Отдельные мероприятия по другим видам транспорта</t>
  </si>
  <si>
    <t>Другие виды транспорта</t>
  </si>
  <si>
    <t>3500000</t>
  </si>
  <si>
    <t>Поддержка жилищного хозяйства</t>
  </si>
  <si>
    <t>Субсидии</t>
  </si>
  <si>
    <t>Мероприятия в области жилищного хозяйства по строительству, реконструкции и приобретению жилых домов</t>
  </si>
  <si>
    <t>3510000</t>
  </si>
  <si>
    <t>Поддержка коммунального хозяйства</t>
  </si>
  <si>
    <t>411</t>
  </si>
  <si>
    <t>Мероприятия в области коммунального хозяйства по развитию, реконструкции и замене инженерных сетей</t>
  </si>
  <si>
    <t>412</t>
  </si>
  <si>
    <t>Мероприятия по благоустройству городских и сельских поселений</t>
  </si>
  <si>
    <t>4400000</t>
  </si>
  <si>
    <t>440</t>
  </si>
  <si>
    <t>4000000</t>
  </si>
  <si>
    <t>Сбор и удаление твердых отходов</t>
  </si>
  <si>
    <t>4200000</t>
  </si>
  <si>
    <t>Обеспечение  деятельности подведомственных учреждений</t>
  </si>
  <si>
    <t>4210000</t>
  </si>
  <si>
    <t>Школы-детские сады, школы начальные, неполные средние и средние</t>
  </si>
  <si>
    <t>810</t>
  </si>
  <si>
    <t>Расходы за счет доходов от предпринимательской деятельности и платных услуг</t>
  </si>
  <si>
    <t>4220000</t>
  </si>
  <si>
    <t>Школы-интернаты</t>
  </si>
  <si>
    <t>4230000</t>
  </si>
  <si>
    <t>Учреждения по внешкольной работе с детьми</t>
  </si>
  <si>
    <t>4240000</t>
  </si>
  <si>
    <t>Детские дома</t>
  </si>
  <si>
    <t>4320000</t>
  </si>
  <si>
    <t>Мероприятия по организации оздоровительной кампании детей и подростков</t>
  </si>
  <si>
    <t>Оздоровление детей и подростков</t>
  </si>
  <si>
    <t>5220000</t>
  </si>
  <si>
    <t>447</t>
  </si>
  <si>
    <t>Проведение мероприятий для детей и молодежи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</si>
  <si>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</si>
  <si>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</si>
  <si>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</t>
  </si>
  <si>
    <t>4410000</t>
  </si>
  <si>
    <t>Музеи и постоянные выставки</t>
  </si>
  <si>
    <t>Библиотеки</t>
  </si>
  <si>
    <t>4420000</t>
  </si>
  <si>
    <t>Театры,   цирки,   концертные   и   другие   организации исполнительских искусств</t>
  </si>
  <si>
    <t>4430000</t>
  </si>
  <si>
    <t>Сбор и удаление отходов и очистка сточных вод</t>
  </si>
  <si>
    <t>4570000</t>
  </si>
  <si>
    <t>Государственная поддержка в сфере культуры, кинематографии и средств массовой информации</t>
  </si>
  <si>
    <t>Периодические   издания,   учрежденные   органами законодательной и исполнительной власти</t>
  </si>
  <si>
    <t>4690000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</si>
  <si>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</si>
  <si>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</si>
  <si>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4760000</t>
  </si>
  <si>
    <t>Родильные дома</t>
  </si>
  <si>
    <t>4770000</t>
  </si>
  <si>
    <t>Станции скорой и неотложной помощи</t>
  </si>
  <si>
    <t>4820000</t>
  </si>
  <si>
    <t>Центры спортивной подготовки (сборные команды)</t>
  </si>
  <si>
    <t>5120000</t>
  </si>
  <si>
    <t>Физкультурно-оздоровительная работа  и  спортивные мероприятия</t>
  </si>
  <si>
    <t>3400000</t>
  </si>
  <si>
    <t>Реализация    государственных   функций   в   области национальной экономики</t>
  </si>
  <si>
    <t>Мероприятия по землеустройству  и землепользованию</t>
  </si>
  <si>
    <t>5110000</t>
  </si>
  <si>
    <t>Мероприятия по борьбе с беспризорностью, по опеке и попечительству</t>
  </si>
  <si>
    <t>Другие пособия и компенсации</t>
  </si>
  <si>
    <t>0700000</t>
  </si>
  <si>
    <t>Охрана растительных и животных видов и среды их обитания</t>
  </si>
  <si>
    <t>0602</t>
  </si>
  <si>
    <t>4100000</t>
  </si>
  <si>
    <t>Состояние окружающей среды и природопользования</t>
  </si>
  <si>
    <t>443</t>
  </si>
  <si>
    <t>Природоохранные мероприятия</t>
  </si>
  <si>
    <t>Социальное обслуживание населения</t>
  </si>
  <si>
    <t>5010000</t>
  </si>
  <si>
    <t>Дома-интернаты для престарелых и инвалидов</t>
  </si>
  <si>
    <t>5060000</t>
  </si>
  <si>
    <t>Учреждения социального обслуживания населения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</si>
  <si>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</si>
  <si>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</si>
  <si>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010</t>
  </si>
  <si>
    <t>Глава муниципального образования</t>
  </si>
  <si>
    <t>Депутаты представительного органа муниципального образования</t>
  </si>
  <si>
    <t>Председатель представительного органа муниципального образования</t>
  </si>
  <si>
    <t>Судебная система</t>
  </si>
  <si>
    <t>0105</t>
  </si>
  <si>
    <t>070</t>
  </si>
  <si>
    <t>Составление (изменение и дополнение) списков кандидатов в присяжные заседатели федеральных судов общей юрисдикции в РФ</t>
  </si>
  <si>
    <t>Члены избирательной комиссии муниципального образования</t>
  </si>
  <si>
    <t>Проведение выборов в представительные органы муниципального образования</t>
  </si>
  <si>
    <t>Расходы за счет средств местного бюджета по обеспечению детей первого и второго года жизни специальными молочными продуктами детского питания</t>
  </si>
  <si>
    <t>0904</t>
  </si>
  <si>
    <t>Другие вопросы в области здравоохранения и спорта</t>
  </si>
  <si>
    <t>Пенсионное обеспечение</t>
  </si>
  <si>
    <t>1001</t>
  </si>
  <si>
    <t>490 00 00</t>
  </si>
  <si>
    <t>Пенсии</t>
  </si>
  <si>
    <t>714</t>
  </si>
  <si>
    <t>Доплаты к пенсиям государственных служащих субъектов РФ и муниципальных служащих</t>
  </si>
  <si>
    <t>Меры социальной поддержки граждан</t>
  </si>
  <si>
    <t>Предоставление гражданам субсидий на оплату жилого помещения и коммунальных услуг</t>
  </si>
  <si>
    <t>Оказание социальной помощи</t>
  </si>
  <si>
    <t>Пенсии по государственному пенсионному обеспечению, доплаты к пенсиям, дополнительное материальное обеспечение, пособия и компенсации</t>
  </si>
  <si>
    <t>Предоставление мер социальной поддержки реабилитированных лиц и лиц, признанных пострадавшими от политических репрессий</t>
  </si>
  <si>
    <t>Ежемесячное пособие на ребенка гражанам, имеющим детей, из бюджетов субъектов РФ и местных бюджетов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</si>
  <si>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</si>
  <si>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</si>
  <si>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Обеспечение мер социальной поддержки ветеранов труда</t>
  </si>
  <si>
    <t>Переселение граждан закрытых административно-территориальных образований</t>
  </si>
  <si>
    <t>4310000</t>
  </si>
  <si>
    <t>Организационно-воспитательная работа с молодежью</t>
  </si>
  <si>
    <t>216</t>
  </si>
  <si>
    <t>Выполнение других обязательств государства</t>
  </si>
  <si>
    <t>Мероприятия в области социальной политики</t>
  </si>
  <si>
    <t>Обслуживание государственного и муниципального долга</t>
  </si>
  <si>
    <t>0112</t>
  </si>
  <si>
    <t>065 00 00</t>
  </si>
  <si>
    <t>Процентные платежи по муниципальному долгу</t>
  </si>
  <si>
    <t>Процентные платежи по долговым обязательствам</t>
  </si>
  <si>
    <t>152</t>
  </si>
  <si>
    <t>Целевая программа ЗАТО Железногорск "Адресно-социальная помощь" на 2006 год</t>
  </si>
  <si>
    <t>521</t>
  </si>
  <si>
    <t>Государственная поддержка малого предпринимательства</t>
  </si>
  <si>
    <t>Меры социальной поддержки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</t>
  </si>
  <si>
    <t>Расходы на реализацию Программы ЗАТО Железногорск "Cоциальная поддержка ветеранов в честь Дня Победы" в 2006 году</t>
  </si>
  <si>
    <t>795 00 00</t>
  </si>
  <si>
    <t>Целевые программы муниципальных образований</t>
  </si>
  <si>
    <t>214</t>
  </si>
  <si>
    <t>Непрограммные инвестиции в основные фонды</t>
  </si>
  <si>
    <t>Строительство объектов общегражданского назначения</t>
  </si>
  <si>
    <t>514 00 00</t>
  </si>
  <si>
    <t>Реализация государственных функций в области социальной политики</t>
  </si>
  <si>
    <t>изменения</t>
  </si>
  <si>
    <t>0200000</t>
  </si>
  <si>
    <t>Проведение выборов и референдумов</t>
  </si>
  <si>
    <t>617</t>
  </si>
  <si>
    <t>Подготовка и проведение сельскохозяйственной переписи</t>
  </si>
  <si>
    <t>621</t>
  </si>
  <si>
    <t>5200000</t>
  </si>
  <si>
    <t>Иные безвозмездные и безвозвратные перечисления</t>
  </si>
  <si>
    <t>Внедрение инновационных образовательных программ в государственных и муниципальных общеобразовательных школах</t>
  </si>
  <si>
    <t>470 00 00</t>
  </si>
  <si>
    <t>Больницы, клиники, госпитали, медико-санитарные части</t>
  </si>
  <si>
    <t>661</t>
  </si>
  <si>
    <t>Предоставление субсидий молодым семьям для приобретения жилья</t>
  </si>
  <si>
    <t>Администрация ЗАТО г.Железногорск (оказание поддержки субъектам малого предпринимательства ЗАТО Железногорск в форме предоставления субсидий на возмещение части процентных ставок по кредитам, полученным в российских кредитных организациях, и части лизинго</t>
  </si>
  <si>
    <t>Исполнение</t>
  </si>
  <si>
    <t>Остаток</t>
  </si>
  <si>
    <t>Исполнение расходов бюджета ЗАТО Железногорск по разделам, подразделам, целевым статьям и видам расходов функциональной классификации расходов бюджетов Российской Федерации в 2006 году</t>
  </si>
  <si>
    <t>к решению Совета депутатов</t>
  </si>
  <si>
    <t>Приложение № 3</t>
  </si>
  <si>
    <t>от31.05.2007 №26-161Р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</si>
</sst>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0"/>
    <numFmt numFmtId="195" formatCode="#,##0.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1"/>
      <name val="Arial"/>
      <family val="2"/>
    </font>
    <font>
      <b/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81" fontId="4" fillId="0" borderId="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181" fontId="4" fillId="0" borderId="5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81" fontId="4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9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81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 wrapText="1"/>
    </xf>
    <xf numFmtId="189" fontId="4" fillId="0" borderId="1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80" fontId="4" fillId="0" borderId="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 wrapText="1"/>
    </xf>
    <xf numFmtId="18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/>
    </xf>
    <xf numFmtId="0" fontId="4" fillId="0" borderId="8" xfId="0" applyFont="1" applyFill="1" applyBorder="1" applyAlignment="1">
      <alignment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 shrinkToFi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181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81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94" fontId="5" fillId="0" borderId="2" xfId="0" applyNumberFormat="1" applyFont="1" applyFill="1" applyBorder="1" applyAlignment="1">
      <alignment horizontal="center" vertical="center"/>
    </xf>
    <xf numFmtId="194" fontId="4" fillId="0" borderId="2" xfId="0" applyNumberFormat="1" applyFont="1" applyFill="1" applyBorder="1" applyAlignment="1">
      <alignment horizontal="center" vertical="center"/>
    </xf>
    <xf numFmtId="194" fontId="4" fillId="2" borderId="2" xfId="0" applyNumberFormat="1" applyFont="1" applyFill="1" applyBorder="1" applyAlignment="1">
      <alignment horizontal="center" vertical="center"/>
    </xf>
    <xf numFmtId="194" fontId="4" fillId="0" borderId="2" xfId="0" applyNumberFormat="1" applyFont="1" applyFill="1" applyBorder="1" applyAlignment="1">
      <alignment horizontal="center" vertical="center" wrapText="1"/>
    </xf>
    <xf numFmtId="194" fontId="4" fillId="3" borderId="2" xfId="0" applyNumberFormat="1" applyFont="1" applyFill="1" applyBorder="1" applyAlignment="1">
      <alignment horizontal="center" vertical="center"/>
    </xf>
    <xf numFmtId="194" fontId="4" fillId="0" borderId="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181" fontId="9" fillId="0" borderId="0" xfId="0" applyNumberFormat="1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94" fontId="0" fillId="0" borderId="0" xfId="0" applyNumberFormat="1" applyAlignment="1">
      <alignment/>
    </xf>
    <xf numFmtId="195" fontId="4" fillId="0" borderId="2" xfId="0" applyNumberFormat="1" applyFont="1" applyFill="1" applyBorder="1" applyAlignment="1">
      <alignment horizontal="center" vertical="center"/>
    </xf>
    <xf numFmtId="195" fontId="4" fillId="0" borderId="2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0"/>
  <sheetViews>
    <sheetView showGridLines="0" tabSelected="1" zoomScale="70" zoomScaleNormal="70" zoomScaleSheetLayoutView="75" workbookViewId="0" topLeftCell="A1">
      <pane ySplit="9" topLeftCell="BM186" activePane="bottomLeft" state="frozen"/>
      <selection pane="topLeft" activeCell="A1" sqref="A1"/>
      <selection pane="bottomLeft" activeCell="Q3" sqref="Q3"/>
    </sheetView>
  </sheetViews>
  <sheetFormatPr defaultColWidth="9.140625" defaultRowHeight="12.75"/>
  <cols>
    <col min="1" max="1" width="5.57421875" style="24" customWidth="1"/>
    <col min="2" max="2" width="51.57421875" style="24" customWidth="1"/>
    <col min="3" max="3" width="0.13671875" style="24" hidden="1" customWidth="1"/>
    <col min="4" max="4" width="26.28125" style="24" hidden="1" customWidth="1"/>
    <col min="5" max="5" width="12.00390625" style="24" hidden="1" customWidth="1"/>
    <col min="6" max="6" width="5.28125" style="24" hidden="1" customWidth="1"/>
    <col min="7" max="7" width="18.28125" style="24" hidden="1" customWidth="1"/>
    <col min="8" max="8" width="17.57421875" style="24" hidden="1" customWidth="1"/>
    <col min="9" max="10" width="14.421875" style="24" hidden="1" customWidth="1"/>
    <col min="11" max="11" width="8.8515625" style="24" customWidth="1"/>
    <col min="12" max="12" width="10.8515625" style="24" customWidth="1"/>
    <col min="13" max="13" width="8.28125" style="24" customWidth="1"/>
    <col min="14" max="14" width="0.13671875" style="24" hidden="1" customWidth="1"/>
    <col min="15" max="15" width="15.28125" style="24" hidden="1" customWidth="1"/>
    <col min="16" max="16" width="17.57421875" style="90" customWidth="1"/>
    <col min="17" max="17" width="17.57421875" style="92" customWidth="1"/>
    <col min="18" max="18" width="16.00390625" style="92" customWidth="1"/>
    <col min="20" max="20" width="12.421875" style="0" bestFit="1" customWidth="1"/>
  </cols>
  <sheetData>
    <row r="1" spans="1:17" ht="16.5" customHeight="1">
      <c r="A1" s="90"/>
      <c r="B1" s="40"/>
      <c r="C1" s="40"/>
      <c r="D1" s="40"/>
      <c r="E1" s="40" t="s">
        <v>290</v>
      </c>
      <c r="F1" s="40"/>
      <c r="G1" s="40"/>
      <c r="H1" s="40"/>
      <c r="I1" s="40"/>
      <c r="J1" s="40"/>
      <c r="K1" s="40"/>
      <c r="M1" s="90"/>
      <c r="N1" s="90"/>
      <c r="O1" s="90"/>
      <c r="Q1" s="40" t="s">
        <v>479</v>
      </c>
    </row>
    <row r="2" spans="1:17" ht="15.75">
      <c r="A2" s="90"/>
      <c r="B2" s="105"/>
      <c r="C2" s="105"/>
      <c r="D2" s="105"/>
      <c r="E2" s="105"/>
      <c r="F2" s="105"/>
      <c r="G2" s="40"/>
      <c r="H2" s="40"/>
      <c r="I2" s="40"/>
      <c r="J2" s="40"/>
      <c r="K2" s="40"/>
      <c r="M2" s="90"/>
      <c r="N2" s="90"/>
      <c r="O2" s="90"/>
      <c r="Q2" s="40" t="s">
        <v>478</v>
      </c>
    </row>
    <row r="3" spans="1:17" ht="15.75">
      <c r="A3" s="90"/>
      <c r="B3" s="40"/>
      <c r="C3" s="40"/>
      <c r="D3" s="40"/>
      <c r="E3" s="40"/>
      <c r="F3" s="40"/>
      <c r="G3" s="40"/>
      <c r="H3" s="40"/>
      <c r="I3" s="40"/>
      <c r="J3" s="40"/>
      <c r="K3" s="40"/>
      <c r="M3" s="90"/>
      <c r="N3" s="90"/>
      <c r="O3" s="90"/>
      <c r="Q3" s="40" t="s">
        <v>480</v>
      </c>
    </row>
    <row r="4" spans="1:16" ht="15.75">
      <c r="A4" s="9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8" ht="48" customHeight="1">
      <c r="A5" s="104" t="s">
        <v>477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</row>
    <row r="6" spans="1:16" ht="7.5" customHeight="1">
      <c r="A6" s="9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8" ht="13.5" customHeight="1">
      <c r="A7" s="90"/>
      <c r="B7" s="4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 t="s">
        <v>297</v>
      </c>
      <c r="O7" s="40" t="s">
        <v>297</v>
      </c>
      <c r="R7" s="40" t="s">
        <v>297</v>
      </c>
    </row>
    <row r="8" spans="1:18" ht="13.5" customHeight="1">
      <c r="A8" s="97" t="s">
        <v>292</v>
      </c>
      <c r="B8" s="101" t="s">
        <v>293</v>
      </c>
      <c r="C8" s="101" t="s">
        <v>124</v>
      </c>
      <c r="D8" s="43"/>
      <c r="E8" s="101" t="s">
        <v>4</v>
      </c>
      <c r="F8" s="101" t="s">
        <v>89</v>
      </c>
      <c r="G8" s="101" t="s">
        <v>158</v>
      </c>
      <c r="H8" s="101" t="s">
        <v>251</v>
      </c>
      <c r="I8" s="101" t="s">
        <v>229</v>
      </c>
      <c r="J8" s="101" t="s">
        <v>122</v>
      </c>
      <c r="K8" s="99" t="s">
        <v>294</v>
      </c>
      <c r="L8" s="99" t="s">
        <v>295</v>
      </c>
      <c r="M8" s="99" t="s">
        <v>296</v>
      </c>
      <c r="N8" s="101" t="s">
        <v>298</v>
      </c>
      <c r="O8" s="101" t="s">
        <v>461</v>
      </c>
      <c r="P8" s="101" t="s">
        <v>298</v>
      </c>
      <c r="Q8" s="101" t="s">
        <v>475</v>
      </c>
      <c r="R8" s="101" t="s">
        <v>476</v>
      </c>
    </row>
    <row r="9" spans="1:18" ht="29.25" customHeight="1">
      <c r="A9" s="98"/>
      <c r="B9" s="100"/>
      <c r="C9" s="106"/>
      <c r="D9" s="44" t="s">
        <v>125</v>
      </c>
      <c r="E9" s="107"/>
      <c r="F9" s="107"/>
      <c r="G9" s="102"/>
      <c r="H9" s="102"/>
      <c r="I9" s="103"/>
      <c r="J9" s="102"/>
      <c r="K9" s="100"/>
      <c r="L9" s="100"/>
      <c r="M9" s="100"/>
      <c r="N9" s="102"/>
      <c r="O9" s="102"/>
      <c r="P9" s="102"/>
      <c r="Q9" s="102"/>
      <c r="R9" s="102"/>
    </row>
    <row r="10" spans="1:18" ht="24.75" customHeight="1">
      <c r="A10" s="66">
        <v>1</v>
      </c>
      <c r="B10" s="26" t="s">
        <v>41</v>
      </c>
      <c r="C10" s="27" t="e">
        <f>C14+C23+C55+#REF!+C71+C74</f>
        <v>#REF!</v>
      </c>
      <c r="D10" s="27" t="e">
        <f>D14+D23+D55+#REF!+D71+D74</f>
        <v>#REF!</v>
      </c>
      <c r="E10" s="27"/>
      <c r="F10" s="27"/>
      <c r="G10" s="28" t="e">
        <f>G14+G23+G55+G58+#REF!+G74</f>
        <v>#REF!</v>
      </c>
      <c r="H10" s="28" t="e">
        <f>H14+H23+H55+H58+#REF!+H74</f>
        <v>#REF!</v>
      </c>
      <c r="I10" s="28" t="e">
        <f>I14+I23+I55+I58+#REF!+I74</f>
        <v>#REF!</v>
      </c>
      <c r="J10" s="28" t="e">
        <f>J14+J23+J55+J58+#REF!+J74</f>
        <v>#REF!</v>
      </c>
      <c r="K10" s="45" t="s">
        <v>86</v>
      </c>
      <c r="L10" s="45"/>
      <c r="M10" s="45"/>
      <c r="N10" s="28">
        <f>N14+N23+N55+N62+N71+N74+N11+N52+N68</f>
        <v>134472.87821</v>
      </c>
      <c r="O10" s="28">
        <f>O14+O23+O55+O62+O71+O74+O11+O52+O68</f>
        <v>-15427.1</v>
      </c>
      <c r="P10" s="84">
        <f>P14+P23+P55+P62+P71+P74+P11+P52+P68</f>
        <v>106027.13021</v>
      </c>
      <c r="Q10" s="84">
        <f>Q14+Q23+Q55+Q62+Q71+Q74+Q11+Q52+Q68</f>
        <v>58128.64155</v>
      </c>
      <c r="R10" s="84">
        <f>R14+R23+R55+R62+R71+R74+R11+R52+R68</f>
        <v>46898.48866</v>
      </c>
    </row>
    <row r="11" spans="1:18" ht="44.25" customHeight="1">
      <c r="A11" s="36">
        <v>2</v>
      </c>
      <c r="B11" s="9" t="s">
        <v>407</v>
      </c>
      <c r="C11" s="31"/>
      <c r="D11" s="31"/>
      <c r="E11" s="31"/>
      <c r="F11" s="31"/>
      <c r="G11" s="28"/>
      <c r="H11" s="28"/>
      <c r="I11" s="28"/>
      <c r="J11" s="28"/>
      <c r="K11" s="5" t="s">
        <v>408</v>
      </c>
      <c r="L11" s="29"/>
      <c r="M11" s="29"/>
      <c r="N11" s="15">
        <f aca="true" t="shared" si="0" ref="N11:R12">N12</f>
        <v>1015</v>
      </c>
      <c r="O11" s="15">
        <f t="shared" si="0"/>
        <v>0</v>
      </c>
      <c r="P11" s="85">
        <f t="shared" si="0"/>
        <v>1015</v>
      </c>
      <c r="Q11" s="85">
        <f t="shared" si="0"/>
        <v>780.27862</v>
      </c>
      <c r="R11" s="85">
        <f t="shared" si="0"/>
        <v>234.72138</v>
      </c>
    </row>
    <row r="12" spans="1:18" ht="33.75" customHeight="1">
      <c r="A12" s="36">
        <v>3</v>
      </c>
      <c r="B12" s="9" t="s">
        <v>299</v>
      </c>
      <c r="C12" s="2"/>
      <c r="D12" s="2"/>
      <c r="E12" s="2"/>
      <c r="F12" s="13"/>
      <c r="G12" s="15"/>
      <c r="H12" s="15"/>
      <c r="I12" s="15"/>
      <c r="J12" s="15"/>
      <c r="K12" s="5" t="s">
        <v>408</v>
      </c>
      <c r="L12" s="5" t="s">
        <v>300</v>
      </c>
      <c r="M12" s="29"/>
      <c r="N12" s="15">
        <f t="shared" si="0"/>
        <v>1015</v>
      </c>
      <c r="O12" s="15">
        <f t="shared" si="0"/>
        <v>0</v>
      </c>
      <c r="P12" s="85">
        <f t="shared" si="0"/>
        <v>1015</v>
      </c>
      <c r="Q12" s="85">
        <f t="shared" si="0"/>
        <v>780.27862</v>
      </c>
      <c r="R12" s="85">
        <f t="shared" si="0"/>
        <v>234.72138</v>
      </c>
    </row>
    <row r="13" spans="1:18" ht="24" customHeight="1">
      <c r="A13" s="36">
        <v>4</v>
      </c>
      <c r="B13" s="9" t="s">
        <v>410</v>
      </c>
      <c r="C13" s="2"/>
      <c r="D13" s="2"/>
      <c r="E13" s="2"/>
      <c r="F13" s="13"/>
      <c r="G13" s="15"/>
      <c r="H13" s="15"/>
      <c r="I13" s="15"/>
      <c r="J13" s="15"/>
      <c r="K13" s="5" t="s">
        <v>408</v>
      </c>
      <c r="L13" s="5" t="s">
        <v>300</v>
      </c>
      <c r="M13" s="5" t="s">
        <v>409</v>
      </c>
      <c r="N13" s="15">
        <v>1015</v>
      </c>
      <c r="O13" s="15"/>
      <c r="P13" s="85">
        <v>1015</v>
      </c>
      <c r="Q13" s="93">
        <v>780.27862</v>
      </c>
      <c r="R13" s="89">
        <f>P13-Q13</f>
        <v>234.72138</v>
      </c>
    </row>
    <row r="14" spans="1:18" ht="45" customHeight="1">
      <c r="A14" s="36">
        <v>5</v>
      </c>
      <c r="B14" s="9" t="s">
        <v>88</v>
      </c>
      <c r="C14" s="2">
        <f>C15</f>
        <v>6532</v>
      </c>
      <c r="D14" s="2">
        <f>D15</f>
        <v>8663</v>
      </c>
      <c r="E14" s="13"/>
      <c r="F14" s="2"/>
      <c r="G14" s="15">
        <f>G15</f>
        <v>9664.651</v>
      </c>
      <c r="H14" s="15">
        <f>H15</f>
        <v>0</v>
      </c>
      <c r="I14" s="15">
        <f>I15</f>
        <v>0</v>
      </c>
      <c r="J14" s="15">
        <f>J15</f>
        <v>0</v>
      </c>
      <c r="K14" s="5" t="s">
        <v>87</v>
      </c>
      <c r="L14" s="5"/>
      <c r="M14" s="5"/>
      <c r="N14" s="15">
        <f>N19</f>
        <v>8292</v>
      </c>
      <c r="O14" s="15">
        <f>O19</f>
        <v>0</v>
      </c>
      <c r="P14" s="85">
        <f>P19</f>
        <v>6997.652</v>
      </c>
      <c r="Q14" s="85">
        <f>Q19</f>
        <v>5725.34854</v>
      </c>
      <c r="R14" s="85">
        <f>R19</f>
        <v>1272.30346</v>
      </c>
    </row>
    <row r="15" spans="1:18" ht="21" customHeight="1" hidden="1">
      <c r="A15" s="36">
        <v>6</v>
      </c>
      <c r="B15" s="9" t="s">
        <v>26</v>
      </c>
      <c r="C15" s="2">
        <f>C16+C17</f>
        <v>6532</v>
      </c>
      <c r="D15" s="2">
        <f>D16+D17</f>
        <v>8663</v>
      </c>
      <c r="E15" s="13"/>
      <c r="F15" s="2"/>
      <c r="G15" s="15">
        <f>G16+G17+G18</f>
        <v>9664.651</v>
      </c>
      <c r="H15" s="15">
        <f>H16+H17+H18</f>
        <v>0</v>
      </c>
      <c r="I15" s="15">
        <f>I16+I17+I18</f>
        <v>0</v>
      </c>
      <c r="J15" s="15">
        <f>J16+J17+J18</f>
        <v>0</v>
      </c>
      <c r="K15" s="5" t="s">
        <v>87</v>
      </c>
      <c r="L15" s="5"/>
      <c r="M15" s="5"/>
      <c r="N15" s="15" t="e">
        <f>#REF!</f>
        <v>#REF!</v>
      </c>
      <c r="O15" s="15" t="e">
        <f>#REF!</f>
        <v>#REF!</v>
      </c>
      <c r="P15" s="85" t="e">
        <f>#REF!</f>
        <v>#REF!</v>
      </c>
      <c r="Q15" s="85" t="e">
        <f>#REF!</f>
        <v>#REF!</v>
      </c>
      <c r="R15" s="85" t="e">
        <f>#REF!</f>
        <v>#REF!</v>
      </c>
    </row>
    <row r="16" spans="1:18" ht="32.25" customHeight="1" hidden="1">
      <c r="A16" s="36">
        <v>7</v>
      </c>
      <c r="B16" s="9" t="s">
        <v>90</v>
      </c>
      <c r="C16" s="2"/>
      <c r="D16" s="2"/>
      <c r="E16" s="2" t="s">
        <v>127</v>
      </c>
      <c r="F16" s="2" t="s">
        <v>91</v>
      </c>
      <c r="G16" s="15">
        <v>1301</v>
      </c>
      <c r="H16" s="15"/>
      <c r="I16" s="15"/>
      <c r="J16" s="15"/>
      <c r="K16" s="5" t="s">
        <v>87</v>
      </c>
      <c r="L16" s="5"/>
      <c r="M16" s="5"/>
      <c r="N16" s="15" t="e">
        <f>#REF!</f>
        <v>#REF!</v>
      </c>
      <c r="O16" s="15" t="e">
        <f>#REF!</f>
        <v>#REF!</v>
      </c>
      <c r="P16" s="85" t="e">
        <f>#REF!</f>
        <v>#REF!</v>
      </c>
      <c r="Q16" s="85" t="e">
        <f>#REF!</f>
        <v>#REF!</v>
      </c>
      <c r="R16" s="85" t="e">
        <f>#REF!</f>
        <v>#REF!</v>
      </c>
    </row>
    <row r="17" spans="1:18" ht="36" customHeight="1" hidden="1">
      <c r="A17" s="36"/>
      <c r="B17" s="9" t="s">
        <v>92</v>
      </c>
      <c r="C17" s="2">
        <v>6532</v>
      </c>
      <c r="D17" s="2">
        <v>8663</v>
      </c>
      <c r="E17" s="2" t="s">
        <v>127</v>
      </c>
      <c r="F17" s="2" t="s">
        <v>24</v>
      </c>
      <c r="G17" s="15">
        <v>4360</v>
      </c>
      <c r="H17" s="15"/>
      <c r="I17" s="15"/>
      <c r="J17" s="15"/>
      <c r="K17" s="5" t="s">
        <v>87</v>
      </c>
      <c r="L17" s="5"/>
      <c r="M17" s="5"/>
      <c r="N17" s="15" t="e">
        <f>#REF!</f>
        <v>#REF!</v>
      </c>
      <c r="O17" s="15" t="e">
        <f>#REF!</f>
        <v>#REF!</v>
      </c>
      <c r="P17" s="85" t="e">
        <f>#REF!</f>
        <v>#REF!</v>
      </c>
      <c r="Q17" s="85" t="e">
        <f>#REF!</f>
        <v>#REF!</v>
      </c>
      <c r="R17" s="85" t="e">
        <f>#REF!</f>
        <v>#REF!</v>
      </c>
    </row>
    <row r="18" spans="1:18" ht="27" customHeight="1" hidden="1">
      <c r="A18" s="36"/>
      <c r="B18" s="9" t="s">
        <v>174</v>
      </c>
      <c r="C18" s="2"/>
      <c r="D18" s="2"/>
      <c r="E18" s="2" t="s">
        <v>127</v>
      </c>
      <c r="F18" s="7" t="s">
        <v>168</v>
      </c>
      <c r="G18" s="15">
        <v>4003.651</v>
      </c>
      <c r="H18" s="15"/>
      <c r="I18" s="15"/>
      <c r="J18" s="15"/>
      <c r="K18" s="5" t="s">
        <v>87</v>
      </c>
      <c r="L18" s="5"/>
      <c r="M18" s="5"/>
      <c r="N18" s="15" t="e">
        <f>#REF!</f>
        <v>#REF!</v>
      </c>
      <c r="O18" s="15" t="e">
        <f>#REF!</f>
        <v>#REF!</v>
      </c>
      <c r="P18" s="85" t="e">
        <f>#REF!</f>
        <v>#REF!</v>
      </c>
      <c r="Q18" s="85" t="e">
        <f>#REF!</f>
        <v>#REF!</v>
      </c>
      <c r="R18" s="85" t="e">
        <f>#REF!</f>
        <v>#REF!</v>
      </c>
    </row>
    <row r="19" spans="1:18" ht="32.25" customHeight="1">
      <c r="A19" s="36">
        <v>6</v>
      </c>
      <c r="B19" s="9" t="s">
        <v>299</v>
      </c>
      <c r="C19" s="2"/>
      <c r="D19" s="2"/>
      <c r="E19" s="2"/>
      <c r="F19" s="13"/>
      <c r="G19" s="15"/>
      <c r="H19" s="15"/>
      <c r="I19" s="15"/>
      <c r="J19" s="15"/>
      <c r="K19" s="5" t="s">
        <v>87</v>
      </c>
      <c r="L19" s="5" t="s">
        <v>300</v>
      </c>
      <c r="M19" s="5"/>
      <c r="N19" s="15">
        <f>N20+N21+N22</f>
        <v>8292</v>
      </c>
      <c r="O19" s="15">
        <f>O20+O21+O22</f>
        <v>0</v>
      </c>
      <c r="P19" s="85">
        <f>P20+P21+P22</f>
        <v>6997.652</v>
      </c>
      <c r="Q19" s="85">
        <f>Q20+Q21+Q22</f>
        <v>5725.34854</v>
      </c>
      <c r="R19" s="85">
        <f>R20+R21+R22</f>
        <v>1272.30346</v>
      </c>
    </row>
    <row r="20" spans="1:18" ht="21.75" customHeight="1">
      <c r="A20" s="36">
        <v>7</v>
      </c>
      <c r="B20" s="9" t="s">
        <v>301</v>
      </c>
      <c r="C20" s="2"/>
      <c r="D20" s="2"/>
      <c r="E20" s="2"/>
      <c r="F20" s="13"/>
      <c r="G20" s="15"/>
      <c r="H20" s="15"/>
      <c r="I20" s="15"/>
      <c r="J20" s="15"/>
      <c r="K20" s="5" t="s">
        <v>87</v>
      </c>
      <c r="L20" s="5" t="s">
        <v>300</v>
      </c>
      <c r="M20" s="5" t="s">
        <v>168</v>
      </c>
      <c r="N20" s="15">
        <v>5408</v>
      </c>
      <c r="O20" s="15"/>
      <c r="P20" s="85">
        <f>5408-324</f>
        <v>5084</v>
      </c>
      <c r="Q20" s="93">
        <v>4040.68888</v>
      </c>
      <c r="R20" s="89">
        <f>P20-Q20</f>
        <v>1043.31112</v>
      </c>
    </row>
    <row r="21" spans="1:18" ht="27" customHeight="1">
      <c r="A21" s="36">
        <v>8</v>
      </c>
      <c r="B21" s="9" t="s">
        <v>412</v>
      </c>
      <c r="C21" s="2"/>
      <c r="D21" s="2"/>
      <c r="E21" s="2"/>
      <c r="F21" s="13"/>
      <c r="G21" s="15"/>
      <c r="H21" s="15"/>
      <c r="I21" s="15"/>
      <c r="J21" s="15"/>
      <c r="K21" s="5" t="s">
        <v>87</v>
      </c>
      <c r="L21" s="5" t="s">
        <v>300</v>
      </c>
      <c r="M21" s="5" t="s">
        <v>91</v>
      </c>
      <c r="N21" s="15">
        <v>1254</v>
      </c>
      <c r="O21" s="15"/>
      <c r="P21" s="85">
        <f>1254-282.863</f>
        <v>971.137</v>
      </c>
      <c r="Q21" s="93">
        <v>839.06445</v>
      </c>
      <c r="R21" s="89">
        <f>P21-Q21</f>
        <v>132.07255</v>
      </c>
    </row>
    <row r="22" spans="1:18" ht="30" customHeight="1">
      <c r="A22" s="36">
        <v>9</v>
      </c>
      <c r="B22" s="9" t="s">
        <v>411</v>
      </c>
      <c r="C22" s="2"/>
      <c r="D22" s="2"/>
      <c r="E22" s="2"/>
      <c r="F22" s="13"/>
      <c r="G22" s="15"/>
      <c r="H22" s="15"/>
      <c r="I22" s="15"/>
      <c r="J22" s="15"/>
      <c r="K22" s="5" t="s">
        <v>87</v>
      </c>
      <c r="L22" s="5" t="s">
        <v>300</v>
      </c>
      <c r="M22" s="5" t="s">
        <v>24</v>
      </c>
      <c r="N22" s="15">
        <v>1630</v>
      </c>
      <c r="O22" s="15"/>
      <c r="P22" s="85">
        <f>1630-687.485</f>
        <v>942.515</v>
      </c>
      <c r="Q22" s="93">
        <v>845.59521</v>
      </c>
      <c r="R22" s="89">
        <f>P22-Q22</f>
        <v>96.91979</v>
      </c>
    </row>
    <row r="23" spans="1:18" ht="63.75" customHeight="1">
      <c r="A23" s="36">
        <v>10</v>
      </c>
      <c r="B23" s="9" t="s">
        <v>94</v>
      </c>
      <c r="C23" s="2">
        <f>C24+C27+C31+C33</f>
        <v>53042</v>
      </c>
      <c r="D23" s="2">
        <f>D24+D27+D31+D33</f>
        <v>59258</v>
      </c>
      <c r="E23" s="2"/>
      <c r="F23" s="2"/>
      <c r="G23" s="15">
        <f>G24+G29+G31+G33+G35+G37+G39+G41+G43+G45+G47+G49</f>
        <v>97906.54629</v>
      </c>
      <c r="H23" s="15">
        <f>H24+H29+H31+H33+H35+H37+H39+H41+H43+H45+H47+H49</f>
        <v>0</v>
      </c>
      <c r="I23" s="15">
        <f>I24+I29+I31+I33+I35+I37+I39+I41+I43+I45+I47+I49</f>
        <v>284.4</v>
      </c>
      <c r="J23" s="15">
        <f>J24+J29+J31+J33+J35+J37+J39+J41+J43+J45+J47+J49</f>
        <v>768.1</v>
      </c>
      <c r="K23" s="5" t="s">
        <v>93</v>
      </c>
      <c r="L23" s="5"/>
      <c r="M23" s="5"/>
      <c r="N23" s="15">
        <f>N50</f>
        <v>75250.86654</v>
      </c>
      <c r="O23" s="15">
        <f>O50</f>
        <v>131</v>
      </c>
      <c r="P23" s="85">
        <f>P50</f>
        <v>68835.16654</v>
      </c>
      <c r="Q23" s="85">
        <f>Q50</f>
        <v>64610.05806</v>
      </c>
      <c r="R23" s="85">
        <f>R50</f>
        <v>4225.10848</v>
      </c>
    </row>
    <row r="24" spans="1:18" ht="0" customHeight="1" hidden="1">
      <c r="A24" s="36"/>
      <c r="B24" s="9" t="s">
        <v>25</v>
      </c>
      <c r="C24" s="3">
        <f>C25+C26</f>
        <v>46461</v>
      </c>
      <c r="D24" s="3">
        <f>D25+D26</f>
        <v>48330</v>
      </c>
      <c r="E24" s="2"/>
      <c r="F24" s="3"/>
      <c r="G24" s="15">
        <f>G25+G26</f>
        <v>58385.91322</v>
      </c>
      <c r="H24" s="15">
        <f>H25+H26</f>
        <v>0</v>
      </c>
      <c r="I24" s="15">
        <f>I25+I26</f>
        <v>1501.43</v>
      </c>
      <c r="J24" s="15">
        <f>J25+J26</f>
        <v>0</v>
      </c>
      <c r="K24" s="5" t="s">
        <v>93</v>
      </c>
      <c r="L24" s="5"/>
      <c r="M24" s="5"/>
      <c r="N24" s="15" t="e">
        <f>#REF!</f>
        <v>#REF!</v>
      </c>
      <c r="O24" s="15" t="e">
        <f>#REF!</f>
        <v>#REF!</v>
      </c>
      <c r="P24" s="85" t="e">
        <f>#REF!</f>
        <v>#REF!</v>
      </c>
      <c r="Q24" s="85" t="e">
        <f>#REF!</f>
        <v>#REF!</v>
      </c>
      <c r="R24" s="85" t="e">
        <f>#REF!</f>
        <v>#REF!</v>
      </c>
    </row>
    <row r="25" spans="1:18" ht="34.5" customHeight="1" hidden="1">
      <c r="A25" s="36"/>
      <c r="B25" s="9" t="s">
        <v>95</v>
      </c>
      <c r="C25" s="3"/>
      <c r="D25" s="3"/>
      <c r="E25" s="2" t="s">
        <v>127</v>
      </c>
      <c r="F25" s="3" t="s">
        <v>97</v>
      </c>
      <c r="G25" s="14">
        <v>923.4</v>
      </c>
      <c r="H25" s="14"/>
      <c r="I25" s="14"/>
      <c r="J25" s="14"/>
      <c r="K25" s="5" t="s">
        <v>93</v>
      </c>
      <c r="L25" s="5"/>
      <c r="M25" s="5"/>
      <c r="N25" s="15" t="e">
        <f>#REF!</f>
        <v>#REF!</v>
      </c>
      <c r="O25" s="15" t="e">
        <f>#REF!</f>
        <v>#REF!</v>
      </c>
      <c r="P25" s="85" t="e">
        <f>#REF!</f>
        <v>#REF!</v>
      </c>
      <c r="Q25" s="85" t="e">
        <f>#REF!</f>
        <v>#REF!</v>
      </c>
      <c r="R25" s="85" t="e">
        <f>#REF!</f>
        <v>#REF!</v>
      </c>
    </row>
    <row r="26" spans="1:18" ht="45.75" customHeight="1" hidden="1">
      <c r="A26" s="36"/>
      <c r="B26" s="9" t="s">
        <v>174</v>
      </c>
      <c r="C26" s="4">
        <v>46461</v>
      </c>
      <c r="D26" s="4">
        <f>32581+15749</f>
        <v>48330</v>
      </c>
      <c r="E26" s="2" t="s">
        <v>127</v>
      </c>
      <c r="F26" s="7" t="s">
        <v>168</v>
      </c>
      <c r="G26" s="15">
        <v>57462.51322</v>
      </c>
      <c r="H26" s="15"/>
      <c r="I26" s="15">
        <f>714.43+787</f>
        <v>1501.43</v>
      </c>
      <c r="J26" s="15"/>
      <c r="K26" s="5" t="s">
        <v>93</v>
      </c>
      <c r="L26" s="5"/>
      <c r="M26" s="5"/>
      <c r="N26" s="15" t="e">
        <f>#REF!</f>
        <v>#REF!</v>
      </c>
      <c r="O26" s="15" t="e">
        <f>#REF!</f>
        <v>#REF!</v>
      </c>
      <c r="P26" s="85" t="e">
        <f>#REF!</f>
        <v>#REF!</v>
      </c>
      <c r="Q26" s="85" t="e">
        <f>#REF!</f>
        <v>#REF!</v>
      </c>
      <c r="R26" s="85" t="e">
        <f>#REF!</f>
        <v>#REF!</v>
      </c>
    </row>
    <row r="27" spans="1:18" ht="21" customHeight="1" hidden="1">
      <c r="A27" s="36"/>
      <c r="B27" s="6" t="s">
        <v>27</v>
      </c>
      <c r="C27" s="3">
        <v>70</v>
      </c>
      <c r="D27" s="3">
        <v>99</v>
      </c>
      <c r="E27" s="2" t="s">
        <v>127</v>
      </c>
      <c r="F27" s="7" t="s">
        <v>168</v>
      </c>
      <c r="G27" s="15"/>
      <c r="H27" s="15"/>
      <c r="I27" s="15"/>
      <c r="J27" s="15"/>
      <c r="K27" s="5" t="s">
        <v>93</v>
      </c>
      <c r="L27" s="5"/>
      <c r="M27" s="5"/>
      <c r="N27" s="15" t="e">
        <f>#REF!</f>
        <v>#REF!</v>
      </c>
      <c r="O27" s="15" t="e">
        <f>#REF!</f>
        <v>#REF!</v>
      </c>
      <c r="P27" s="85" t="e">
        <f>#REF!</f>
        <v>#REF!</v>
      </c>
      <c r="Q27" s="85" t="e">
        <f>#REF!</f>
        <v>#REF!</v>
      </c>
      <c r="R27" s="85" t="e">
        <f>#REF!</f>
        <v>#REF!</v>
      </c>
    </row>
    <row r="28" spans="1:18" ht="21.75" customHeight="1" hidden="1">
      <c r="A28" s="36"/>
      <c r="B28" s="9" t="s">
        <v>96</v>
      </c>
      <c r="C28" s="4">
        <v>5934</v>
      </c>
      <c r="D28" s="4">
        <f>3938+4440</f>
        <v>8378</v>
      </c>
      <c r="E28" s="2" t="s">
        <v>127</v>
      </c>
      <c r="F28" s="7" t="s">
        <v>168</v>
      </c>
      <c r="G28" s="15"/>
      <c r="H28" s="15"/>
      <c r="I28" s="15"/>
      <c r="J28" s="15"/>
      <c r="K28" s="5" t="s">
        <v>93</v>
      </c>
      <c r="L28" s="5"/>
      <c r="M28" s="5"/>
      <c r="N28" s="15" t="e">
        <f>#REF!</f>
        <v>#REF!</v>
      </c>
      <c r="O28" s="15" t="e">
        <f>#REF!</f>
        <v>#REF!</v>
      </c>
      <c r="P28" s="85" t="e">
        <f>#REF!</f>
        <v>#REF!</v>
      </c>
      <c r="Q28" s="85" t="e">
        <f>#REF!</f>
        <v>#REF!</v>
      </c>
      <c r="R28" s="85" t="e">
        <f>#REF!</f>
        <v>#REF!</v>
      </c>
    </row>
    <row r="29" spans="1:18" ht="21.75" customHeight="1" hidden="1">
      <c r="A29" s="36"/>
      <c r="B29" s="9" t="s">
        <v>218</v>
      </c>
      <c r="C29" s="3">
        <f>C30+C31</f>
        <v>49694</v>
      </c>
      <c r="D29" s="3">
        <f>D30+D31</f>
        <v>51767</v>
      </c>
      <c r="E29" s="2"/>
      <c r="F29" s="3"/>
      <c r="G29" s="17">
        <f>G30</f>
        <v>642.844</v>
      </c>
      <c r="H29" s="17"/>
      <c r="I29" s="17"/>
      <c r="J29" s="17"/>
      <c r="K29" s="5" t="s">
        <v>93</v>
      </c>
      <c r="L29" s="5"/>
      <c r="M29" s="5"/>
      <c r="N29" s="15" t="e">
        <f>#REF!</f>
        <v>#REF!</v>
      </c>
      <c r="O29" s="15" t="e">
        <f>#REF!</f>
        <v>#REF!</v>
      </c>
      <c r="P29" s="85" t="e">
        <f>#REF!</f>
        <v>#REF!</v>
      </c>
      <c r="Q29" s="85" t="e">
        <f>#REF!</f>
        <v>#REF!</v>
      </c>
      <c r="R29" s="85" t="e">
        <f>#REF!</f>
        <v>#REF!</v>
      </c>
    </row>
    <row r="30" spans="1:18" ht="21.75" customHeight="1" hidden="1">
      <c r="A30" s="36"/>
      <c r="B30" s="9" t="s">
        <v>174</v>
      </c>
      <c r="C30" s="4">
        <v>46461</v>
      </c>
      <c r="D30" s="4">
        <f>32581+15749</f>
        <v>48330</v>
      </c>
      <c r="E30" s="2" t="s">
        <v>127</v>
      </c>
      <c r="F30" s="7" t="s">
        <v>168</v>
      </c>
      <c r="G30" s="17">
        <v>642.844</v>
      </c>
      <c r="H30" s="17"/>
      <c r="I30" s="17"/>
      <c r="J30" s="17"/>
      <c r="K30" s="5" t="s">
        <v>93</v>
      </c>
      <c r="L30" s="5"/>
      <c r="M30" s="5"/>
      <c r="N30" s="15" t="e">
        <f>#REF!</f>
        <v>#REF!</v>
      </c>
      <c r="O30" s="15" t="e">
        <f>#REF!</f>
        <v>#REF!</v>
      </c>
      <c r="P30" s="85" t="e">
        <f>#REF!</f>
        <v>#REF!</v>
      </c>
      <c r="Q30" s="85" t="e">
        <f>#REF!</f>
        <v>#REF!</v>
      </c>
      <c r="R30" s="85" t="e">
        <f>#REF!</f>
        <v>#REF!</v>
      </c>
    </row>
    <row r="31" spans="1:18" ht="31.5" hidden="1">
      <c r="A31" s="36"/>
      <c r="B31" s="9" t="s">
        <v>34</v>
      </c>
      <c r="C31" s="2">
        <f>SUM(C32:C32)</f>
        <v>3233</v>
      </c>
      <c r="D31" s="2">
        <f>SUM(D32:D32)</f>
        <v>3437</v>
      </c>
      <c r="E31" s="2"/>
      <c r="F31" s="7"/>
      <c r="G31" s="15">
        <f>G32</f>
        <v>3791.15</v>
      </c>
      <c r="H31" s="15">
        <f>H32</f>
        <v>0</v>
      </c>
      <c r="I31" s="15">
        <f>I32</f>
        <v>0</v>
      </c>
      <c r="J31" s="15">
        <f>J32</f>
        <v>92.6</v>
      </c>
      <c r="K31" s="5"/>
      <c r="L31" s="5"/>
      <c r="M31" s="5"/>
      <c r="N31" s="15" t="e">
        <f>#REF!</f>
        <v>#REF!</v>
      </c>
      <c r="O31" s="15" t="e">
        <f>#REF!</f>
        <v>#REF!</v>
      </c>
      <c r="P31" s="85" t="e">
        <f>#REF!</f>
        <v>#REF!</v>
      </c>
      <c r="Q31" s="85" t="e">
        <f>#REF!</f>
        <v>#REF!</v>
      </c>
      <c r="R31" s="85" t="e">
        <f>#REF!</f>
        <v>#REF!</v>
      </c>
    </row>
    <row r="32" spans="1:18" ht="31.5" hidden="1">
      <c r="A32" s="36"/>
      <c r="B32" s="9" t="s">
        <v>174</v>
      </c>
      <c r="C32" s="4">
        <v>3233</v>
      </c>
      <c r="D32" s="4">
        <f>1216+2221</f>
        <v>3437</v>
      </c>
      <c r="E32" s="2" t="s">
        <v>127</v>
      </c>
      <c r="F32" s="7" t="s">
        <v>168</v>
      </c>
      <c r="G32" s="15">
        <v>3791.15</v>
      </c>
      <c r="H32" s="15"/>
      <c r="I32" s="15"/>
      <c r="J32" s="15">
        <v>92.6</v>
      </c>
      <c r="K32" s="5" t="s">
        <v>93</v>
      </c>
      <c r="L32" s="5"/>
      <c r="M32" s="5"/>
      <c r="N32" s="15" t="e">
        <f>#REF!</f>
        <v>#REF!</v>
      </c>
      <c r="O32" s="15" t="e">
        <f>#REF!</f>
        <v>#REF!</v>
      </c>
      <c r="P32" s="85" t="e">
        <f>#REF!</f>
        <v>#REF!</v>
      </c>
      <c r="Q32" s="85" t="e">
        <f>#REF!</f>
        <v>#REF!</v>
      </c>
      <c r="R32" s="85" t="e">
        <f>#REF!</f>
        <v>#REF!</v>
      </c>
    </row>
    <row r="33" spans="1:18" ht="33" customHeight="1" hidden="1">
      <c r="A33" s="36"/>
      <c r="B33" s="9" t="s">
        <v>37</v>
      </c>
      <c r="C33" s="3">
        <f>C34</f>
        <v>3278</v>
      </c>
      <c r="D33" s="3">
        <f>D34</f>
        <v>7392</v>
      </c>
      <c r="E33" s="2"/>
      <c r="F33" s="7"/>
      <c r="G33" s="15">
        <f>G34</f>
        <v>4054</v>
      </c>
      <c r="H33" s="15">
        <f>H34</f>
        <v>0</v>
      </c>
      <c r="I33" s="15">
        <f>I34</f>
        <v>-714.43</v>
      </c>
      <c r="J33" s="15">
        <f>J34</f>
        <v>0</v>
      </c>
      <c r="K33" s="5"/>
      <c r="L33" s="5"/>
      <c r="M33" s="5"/>
      <c r="N33" s="15" t="e">
        <f>#REF!</f>
        <v>#REF!</v>
      </c>
      <c r="O33" s="15" t="e">
        <f>#REF!</f>
        <v>#REF!</v>
      </c>
      <c r="P33" s="85" t="e">
        <f>#REF!</f>
        <v>#REF!</v>
      </c>
      <c r="Q33" s="85" t="e">
        <f>#REF!</f>
        <v>#REF!</v>
      </c>
      <c r="R33" s="85" t="e">
        <f>#REF!</f>
        <v>#REF!</v>
      </c>
    </row>
    <row r="34" spans="1:18" ht="23.25" customHeight="1" hidden="1">
      <c r="A34" s="36"/>
      <c r="B34" s="9" t="s">
        <v>174</v>
      </c>
      <c r="C34" s="4">
        <v>3278</v>
      </c>
      <c r="D34" s="4">
        <v>7392</v>
      </c>
      <c r="E34" s="2" t="s">
        <v>127</v>
      </c>
      <c r="F34" s="7" t="s">
        <v>168</v>
      </c>
      <c r="G34" s="15">
        <v>4054</v>
      </c>
      <c r="H34" s="15"/>
      <c r="I34" s="15">
        <v>-714.43</v>
      </c>
      <c r="J34" s="15"/>
      <c r="K34" s="5" t="s">
        <v>93</v>
      </c>
      <c r="L34" s="5"/>
      <c r="M34" s="5"/>
      <c r="N34" s="15" t="e">
        <f>#REF!</f>
        <v>#REF!</v>
      </c>
      <c r="O34" s="15" t="e">
        <f>#REF!</f>
        <v>#REF!</v>
      </c>
      <c r="P34" s="85" t="e">
        <f>#REF!</f>
        <v>#REF!</v>
      </c>
      <c r="Q34" s="85" t="e">
        <f>#REF!</f>
        <v>#REF!</v>
      </c>
      <c r="R34" s="85" t="e">
        <f>#REF!</f>
        <v>#REF!</v>
      </c>
    </row>
    <row r="35" spans="1:18" ht="42" customHeight="1" hidden="1">
      <c r="A35" s="36"/>
      <c r="B35" s="9" t="s">
        <v>288</v>
      </c>
      <c r="C35" s="3">
        <v>1657</v>
      </c>
      <c r="D35" s="12">
        <v>1805</v>
      </c>
      <c r="E35" s="2"/>
      <c r="F35" s="16"/>
      <c r="G35" s="15">
        <f>G36</f>
        <v>1654</v>
      </c>
      <c r="H35" s="15">
        <f>H36</f>
        <v>0</v>
      </c>
      <c r="I35" s="15">
        <f>I36</f>
        <v>0</v>
      </c>
      <c r="J35" s="15">
        <f>J36</f>
        <v>55.1</v>
      </c>
      <c r="K35" s="5"/>
      <c r="L35" s="5"/>
      <c r="M35" s="5"/>
      <c r="N35" s="15" t="e">
        <f>#REF!</f>
        <v>#REF!</v>
      </c>
      <c r="O35" s="15" t="e">
        <f>#REF!</f>
        <v>#REF!</v>
      </c>
      <c r="P35" s="85" t="e">
        <f>#REF!</f>
        <v>#REF!</v>
      </c>
      <c r="Q35" s="85" t="e">
        <f>#REF!</f>
        <v>#REF!</v>
      </c>
      <c r="R35" s="85" t="e">
        <f>#REF!</f>
        <v>#REF!</v>
      </c>
    </row>
    <row r="36" spans="1:18" ht="42" customHeight="1" hidden="1">
      <c r="A36" s="36"/>
      <c r="B36" s="9" t="s">
        <v>174</v>
      </c>
      <c r="C36" s="3"/>
      <c r="D36" s="12"/>
      <c r="E36" s="2" t="s">
        <v>127</v>
      </c>
      <c r="F36" s="16" t="s">
        <v>168</v>
      </c>
      <c r="G36" s="15">
        <v>1654</v>
      </c>
      <c r="H36" s="15"/>
      <c r="I36" s="15"/>
      <c r="J36" s="15">
        <v>55.1</v>
      </c>
      <c r="K36" s="5" t="s">
        <v>93</v>
      </c>
      <c r="L36" s="5"/>
      <c r="M36" s="5"/>
      <c r="N36" s="15" t="e">
        <f>#REF!</f>
        <v>#REF!</v>
      </c>
      <c r="O36" s="15" t="e">
        <f>#REF!</f>
        <v>#REF!</v>
      </c>
      <c r="P36" s="85" t="e">
        <f>#REF!</f>
        <v>#REF!</v>
      </c>
      <c r="Q36" s="85" t="e">
        <f>#REF!</f>
        <v>#REF!</v>
      </c>
      <c r="R36" s="85" t="e">
        <f>#REF!</f>
        <v>#REF!</v>
      </c>
    </row>
    <row r="37" spans="1:18" ht="37.5" customHeight="1" hidden="1">
      <c r="A37" s="36"/>
      <c r="B37" s="9" t="s">
        <v>183</v>
      </c>
      <c r="C37" s="3">
        <v>4732</v>
      </c>
      <c r="D37" s="12">
        <v>4774</v>
      </c>
      <c r="E37" s="2"/>
      <c r="F37" s="16"/>
      <c r="G37" s="18">
        <f>G38</f>
        <v>8333</v>
      </c>
      <c r="H37" s="18">
        <f>H38</f>
        <v>0</v>
      </c>
      <c r="I37" s="18">
        <f>I38</f>
        <v>0</v>
      </c>
      <c r="J37" s="17">
        <f>J38</f>
        <v>201.1</v>
      </c>
      <c r="K37" s="5"/>
      <c r="L37" s="5"/>
      <c r="M37" s="5"/>
      <c r="N37" s="15" t="e">
        <f>#REF!</f>
        <v>#REF!</v>
      </c>
      <c r="O37" s="15" t="e">
        <f>#REF!</f>
        <v>#REF!</v>
      </c>
      <c r="P37" s="85" t="e">
        <f>#REF!</f>
        <v>#REF!</v>
      </c>
      <c r="Q37" s="85" t="e">
        <f>#REF!</f>
        <v>#REF!</v>
      </c>
      <c r="R37" s="85" t="e">
        <f>#REF!</f>
        <v>#REF!</v>
      </c>
    </row>
    <row r="38" spans="1:18" ht="23.25" customHeight="1" hidden="1">
      <c r="A38" s="36"/>
      <c r="B38" s="9" t="s">
        <v>174</v>
      </c>
      <c r="C38" s="8"/>
      <c r="D38" s="8"/>
      <c r="E38" s="2" t="s">
        <v>127</v>
      </c>
      <c r="F38" s="16" t="s">
        <v>168</v>
      </c>
      <c r="G38" s="18">
        <v>8333</v>
      </c>
      <c r="H38" s="22"/>
      <c r="I38" s="22"/>
      <c r="J38" s="46">
        <v>201.1</v>
      </c>
      <c r="K38" s="5" t="s">
        <v>93</v>
      </c>
      <c r="L38" s="5"/>
      <c r="M38" s="5"/>
      <c r="N38" s="15" t="e">
        <f>#REF!</f>
        <v>#REF!</v>
      </c>
      <c r="O38" s="15" t="e">
        <f>#REF!</f>
        <v>#REF!</v>
      </c>
      <c r="P38" s="85" t="e">
        <f>#REF!</f>
        <v>#REF!</v>
      </c>
      <c r="Q38" s="85" t="e">
        <f>#REF!</f>
        <v>#REF!</v>
      </c>
      <c r="R38" s="85" t="e">
        <f>#REF!</f>
        <v>#REF!</v>
      </c>
    </row>
    <row r="39" spans="1:18" ht="34.5" customHeight="1" hidden="1">
      <c r="A39" s="36"/>
      <c r="B39" s="6" t="s">
        <v>82</v>
      </c>
      <c r="C39" s="3">
        <v>1399</v>
      </c>
      <c r="D39" s="3">
        <v>1422</v>
      </c>
      <c r="E39" s="2"/>
      <c r="F39" s="7"/>
      <c r="G39" s="15">
        <f>G40</f>
        <v>2128.5</v>
      </c>
      <c r="H39" s="15">
        <f>H40</f>
        <v>0</v>
      </c>
      <c r="I39" s="15">
        <f>I40</f>
        <v>0</v>
      </c>
      <c r="J39" s="15">
        <f>J40</f>
        <v>62.4</v>
      </c>
      <c r="K39" s="5"/>
      <c r="L39" s="5"/>
      <c r="M39" s="5"/>
      <c r="N39" s="15" t="e">
        <f>#REF!</f>
        <v>#REF!</v>
      </c>
      <c r="O39" s="15" t="e">
        <f>#REF!</f>
        <v>#REF!</v>
      </c>
      <c r="P39" s="85" t="e">
        <f>#REF!</f>
        <v>#REF!</v>
      </c>
      <c r="Q39" s="85" t="e">
        <f>#REF!</f>
        <v>#REF!</v>
      </c>
      <c r="R39" s="85" t="e">
        <f>#REF!</f>
        <v>#REF!</v>
      </c>
    </row>
    <row r="40" spans="1:18" ht="23.25" customHeight="1" hidden="1">
      <c r="A40" s="36"/>
      <c r="B40" s="9" t="s">
        <v>174</v>
      </c>
      <c r="C40" s="8"/>
      <c r="D40" s="8"/>
      <c r="E40" s="2" t="s">
        <v>127</v>
      </c>
      <c r="F40" s="7" t="s">
        <v>168</v>
      </c>
      <c r="G40" s="15">
        <v>2128.5</v>
      </c>
      <c r="H40" s="15"/>
      <c r="I40" s="15"/>
      <c r="J40" s="15">
        <v>62.4</v>
      </c>
      <c r="K40" s="5" t="s">
        <v>93</v>
      </c>
      <c r="L40" s="5"/>
      <c r="M40" s="5"/>
      <c r="N40" s="15" t="e">
        <f>#REF!</f>
        <v>#REF!</v>
      </c>
      <c r="O40" s="15" t="e">
        <f>#REF!</f>
        <v>#REF!</v>
      </c>
      <c r="P40" s="85" t="e">
        <f>#REF!</f>
        <v>#REF!</v>
      </c>
      <c r="Q40" s="85" t="e">
        <f>#REF!</f>
        <v>#REF!</v>
      </c>
      <c r="R40" s="85" t="e">
        <f>#REF!</f>
        <v>#REF!</v>
      </c>
    </row>
    <row r="41" spans="1:18" ht="36.75" customHeight="1" hidden="1">
      <c r="A41" s="36"/>
      <c r="B41" s="9" t="s">
        <v>123</v>
      </c>
      <c r="C41" s="3">
        <v>3357</v>
      </c>
      <c r="D41" s="3">
        <f>3536+1796</f>
        <v>5332</v>
      </c>
      <c r="E41" s="2" t="s">
        <v>127</v>
      </c>
      <c r="F41" s="16" t="s">
        <v>168</v>
      </c>
      <c r="G41" s="15">
        <f>G42</f>
        <v>5301</v>
      </c>
      <c r="H41" s="15">
        <f>H42</f>
        <v>0</v>
      </c>
      <c r="I41" s="15">
        <f>I42</f>
        <v>-787</v>
      </c>
      <c r="J41" s="15">
        <f>J42</f>
        <v>0</v>
      </c>
      <c r="K41" s="5"/>
      <c r="L41" s="5"/>
      <c r="M41" s="5"/>
      <c r="N41" s="15" t="e">
        <f>#REF!</f>
        <v>#REF!</v>
      </c>
      <c r="O41" s="15" t="e">
        <f>#REF!</f>
        <v>#REF!</v>
      </c>
      <c r="P41" s="85" t="e">
        <f>#REF!</f>
        <v>#REF!</v>
      </c>
      <c r="Q41" s="85" t="e">
        <f>#REF!</f>
        <v>#REF!</v>
      </c>
      <c r="R41" s="85" t="e">
        <f>#REF!</f>
        <v>#REF!</v>
      </c>
    </row>
    <row r="42" spans="1:18" ht="23.25" customHeight="1" hidden="1">
      <c r="A42" s="36"/>
      <c r="B42" s="9" t="s">
        <v>174</v>
      </c>
      <c r="C42" s="8"/>
      <c r="D42" s="8"/>
      <c r="E42" s="2" t="s">
        <v>127</v>
      </c>
      <c r="F42" s="16" t="s">
        <v>168</v>
      </c>
      <c r="G42" s="15">
        <v>5301</v>
      </c>
      <c r="H42" s="15"/>
      <c r="I42" s="15">
        <v>-787</v>
      </c>
      <c r="J42" s="15"/>
      <c r="K42" s="5" t="s">
        <v>93</v>
      </c>
      <c r="L42" s="5"/>
      <c r="M42" s="5"/>
      <c r="N42" s="15" t="e">
        <f>#REF!</f>
        <v>#REF!</v>
      </c>
      <c r="O42" s="15" t="e">
        <f>#REF!</f>
        <v>#REF!</v>
      </c>
      <c r="P42" s="85" t="e">
        <f>#REF!</f>
        <v>#REF!</v>
      </c>
      <c r="Q42" s="85" t="e">
        <f>#REF!</f>
        <v>#REF!</v>
      </c>
      <c r="R42" s="85" t="e">
        <f>#REF!</f>
        <v>#REF!</v>
      </c>
    </row>
    <row r="43" spans="1:18" ht="45" customHeight="1" hidden="1">
      <c r="A43" s="36">
        <v>8</v>
      </c>
      <c r="B43" s="6" t="s">
        <v>28</v>
      </c>
      <c r="C43" s="8"/>
      <c r="D43" s="8"/>
      <c r="E43" s="2"/>
      <c r="F43" s="7"/>
      <c r="G43" s="15">
        <f>G44</f>
        <v>3092</v>
      </c>
      <c r="H43" s="15">
        <f>H44</f>
        <v>0</v>
      </c>
      <c r="I43" s="15">
        <f>I44</f>
        <v>0</v>
      </c>
      <c r="J43" s="15">
        <f>J44</f>
        <v>108.5</v>
      </c>
      <c r="K43" s="5"/>
      <c r="L43" s="5"/>
      <c r="M43" s="5"/>
      <c r="N43" s="15" t="e">
        <f>#REF!</f>
        <v>#REF!</v>
      </c>
      <c r="O43" s="15" t="e">
        <f>#REF!</f>
        <v>#REF!</v>
      </c>
      <c r="P43" s="85" t="e">
        <f>#REF!</f>
        <v>#REF!</v>
      </c>
      <c r="Q43" s="85" t="e">
        <f>#REF!</f>
        <v>#REF!</v>
      </c>
      <c r="R43" s="85" t="e">
        <f>#REF!</f>
        <v>#REF!</v>
      </c>
    </row>
    <row r="44" spans="1:18" ht="45" customHeight="1" hidden="1">
      <c r="A44" s="36">
        <v>9</v>
      </c>
      <c r="B44" s="9" t="s">
        <v>174</v>
      </c>
      <c r="C44" s="8"/>
      <c r="D44" s="8"/>
      <c r="E44" s="2" t="s">
        <v>127</v>
      </c>
      <c r="F44" s="7" t="s">
        <v>168</v>
      </c>
      <c r="G44" s="15">
        <v>3092</v>
      </c>
      <c r="H44" s="15"/>
      <c r="I44" s="15"/>
      <c r="J44" s="15">
        <v>108.5</v>
      </c>
      <c r="K44" s="5" t="s">
        <v>93</v>
      </c>
      <c r="L44" s="5"/>
      <c r="M44" s="5"/>
      <c r="N44" s="15" t="e">
        <f>#REF!</f>
        <v>#REF!</v>
      </c>
      <c r="O44" s="15" t="e">
        <f>#REF!</f>
        <v>#REF!</v>
      </c>
      <c r="P44" s="85" t="e">
        <f>#REF!</f>
        <v>#REF!</v>
      </c>
      <c r="Q44" s="85" t="e">
        <f>#REF!</f>
        <v>#REF!</v>
      </c>
      <c r="R44" s="85" t="e">
        <f>#REF!</f>
        <v>#REF!</v>
      </c>
    </row>
    <row r="45" spans="1:18" ht="45" customHeight="1" hidden="1">
      <c r="A45" s="36"/>
      <c r="B45" s="9" t="s">
        <v>40</v>
      </c>
      <c r="C45" s="8"/>
      <c r="D45" s="8"/>
      <c r="E45" s="2"/>
      <c r="F45" s="7"/>
      <c r="G45" s="15">
        <f>G46</f>
        <v>2069</v>
      </c>
      <c r="H45" s="15">
        <f>H46</f>
        <v>0</v>
      </c>
      <c r="I45" s="15">
        <f>I46</f>
        <v>0</v>
      </c>
      <c r="J45" s="15">
        <f>J46</f>
        <v>72.3</v>
      </c>
      <c r="K45" s="5"/>
      <c r="L45" s="5"/>
      <c r="M45" s="5"/>
      <c r="N45" s="15" t="e">
        <f>#REF!</f>
        <v>#REF!</v>
      </c>
      <c r="O45" s="15" t="e">
        <f>#REF!</f>
        <v>#REF!</v>
      </c>
      <c r="P45" s="85" t="e">
        <f>#REF!</f>
        <v>#REF!</v>
      </c>
      <c r="Q45" s="85" t="e">
        <f>#REF!</f>
        <v>#REF!</v>
      </c>
      <c r="R45" s="85" t="e">
        <f>#REF!</f>
        <v>#REF!</v>
      </c>
    </row>
    <row r="46" spans="1:18" ht="23.25" customHeight="1" hidden="1">
      <c r="A46" s="36"/>
      <c r="B46" s="9" t="s">
        <v>174</v>
      </c>
      <c r="C46" s="8"/>
      <c r="D46" s="8"/>
      <c r="E46" s="2" t="s">
        <v>127</v>
      </c>
      <c r="F46" s="7" t="s">
        <v>168</v>
      </c>
      <c r="G46" s="15">
        <v>2069</v>
      </c>
      <c r="H46" s="15"/>
      <c r="I46" s="15"/>
      <c r="J46" s="15">
        <v>72.3</v>
      </c>
      <c r="K46" s="5" t="s">
        <v>93</v>
      </c>
      <c r="L46" s="5"/>
      <c r="M46" s="5"/>
      <c r="N46" s="15" t="e">
        <f>#REF!</f>
        <v>#REF!</v>
      </c>
      <c r="O46" s="15" t="e">
        <f>#REF!</f>
        <v>#REF!</v>
      </c>
      <c r="P46" s="85" t="e">
        <f>#REF!</f>
        <v>#REF!</v>
      </c>
      <c r="Q46" s="85" t="e">
        <f>#REF!</f>
        <v>#REF!</v>
      </c>
      <c r="R46" s="85" t="e">
        <f>#REF!</f>
        <v>#REF!</v>
      </c>
    </row>
    <row r="47" spans="1:18" ht="38.25" customHeight="1" hidden="1">
      <c r="A47" s="36"/>
      <c r="B47" s="6" t="s">
        <v>27</v>
      </c>
      <c r="C47" s="8"/>
      <c r="D47" s="8"/>
      <c r="E47" s="2"/>
      <c r="F47" s="7"/>
      <c r="G47" s="15">
        <f>G48</f>
        <v>7199.6</v>
      </c>
      <c r="H47" s="15">
        <f>H48</f>
        <v>0</v>
      </c>
      <c r="I47" s="15">
        <f>I48</f>
        <v>-165.6</v>
      </c>
      <c r="J47" s="15">
        <f>J48</f>
        <v>176.1</v>
      </c>
      <c r="K47" s="5"/>
      <c r="L47" s="5"/>
      <c r="M47" s="5"/>
      <c r="N47" s="15" t="e">
        <f>#REF!</f>
        <v>#REF!</v>
      </c>
      <c r="O47" s="15" t="e">
        <f>#REF!</f>
        <v>#REF!</v>
      </c>
      <c r="P47" s="85" t="e">
        <f>#REF!</f>
        <v>#REF!</v>
      </c>
      <c r="Q47" s="85" t="e">
        <f>#REF!</f>
        <v>#REF!</v>
      </c>
      <c r="R47" s="85" t="e">
        <f>#REF!</f>
        <v>#REF!</v>
      </c>
    </row>
    <row r="48" spans="1:18" ht="47.25" customHeight="1" hidden="1">
      <c r="A48" s="36"/>
      <c r="B48" s="9" t="s">
        <v>174</v>
      </c>
      <c r="C48" s="8"/>
      <c r="D48" s="8"/>
      <c r="E48" s="2" t="s">
        <v>127</v>
      </c>
      <c r="F48" s="7" t="s">
        <v>168</v>
      </c>
      <c r="G48" s="15">
        <v>7199.6</v>
      </c>
      <c r="H48" s="15"/>
      <c r="I48" s="15">
        <v>-165.6</v>
      </c>
      <c r="J48" s="15">
        <v>176.1</v>
      </c>
      <c r="K48" s="5" t="s">
        <v>93</v>
      </c>
      <c r="L48" s="5"/>
      <c r="M48" s="5"/>
      <c r="N48" s="15" t="e">
        <f>#REF!</f>
        <v>#REF!</v>
      </c>
      <c r="O48" s="15" t="e">
        <f>#REF!</f>
        <v>#REF!</v>
      </c>
      <c r="P48" s="85" t="e">
        <f>#REF!</f>
        <v>#REF!</v>
      </c>
      <c r="Q48" s="85" t="e">
        <f>#REF!</f>
        <v>#REF!</v>
      </c>
      <c r="R48" s="85" t="e">
        <f>#REF!</f>
        <v>#REF!</v>
      </c>
    </row>
    <row r="49" spans="1:18" ht="47.25" customHeight="1" hidden="1">
      <c r="A49" s="36"/>
      <c r="B49" s="9" t="s">
        <v>141</v>
      </c>
      <c r="C49" s="8"/>
      <c r="D49" s="8"/>
      <c r="E49" s="2" t="s">
        <v>127</v>
      </c>
      <c r="F49" s="7" t="s">
        <v>230</v>
      </c>
      <c r="G49" s="15">
        <v>1255.53907</v>
      </c>
      <c r="H49" s="15"/>
      <c r="I49" s="15">
        <v>450</v>
      </c>
      <c r="J49" s="15"/>
      <c r="K49" s="5" t="s">
        <v>93</v>
      </c>
      <c r="L49" s="5"/>
      <c r="M49" s="5"/>
      <c r="N49" s="15" t="e">
        <f>#REF!</f>
        <v>#REF!</v>
      </c>
      <c r="O49" s="15" t="e">
        <f>#REF!</f>
        <v>#REF!</v>
      </c>
      <c r="P49" s="85" t="e">
        <f>#REF!</f>
        <v>#REF!</v>
      </c>
      <c r="Q49" s="85" t="e">
        <f>#REF!</f>
        <v>#REF!</v>
      </c>
      <c r="R49" s="85" t="e">
        <f>#REF!</f>
        <v>#REF!</v>
      </c>
    </row>
    <row r="50" spans="1:18" ht="33.75" customHeight="1">
      <c r="A50" s="36">
        <v>11</v>
      </c>
      <c r="B50" s="47" t="s">
        <v>299</v>
      </c>
      <c r="C50" s="2"/>
      <c r="D50" s="2"/>
      <c r="E50" s="2"/>
      <c r="F50" s="13"/>
      <c r="G50" s="15"/>
      <c r="H50" s="15"/>
      <c r="I50" s="15"/>
      <c r="J50" s="15"/>
      <c r="K50" s="5" t="s">
        <v>93</v>
      </c>
      <c r="L50" s="5" t="s">
        <v>300</v>
      </c>
      <c r="M50" s="5"/>
      <c r="N50" s="15">
        <f>N51</f>
        <v>75250.86654</v>
      </c>
      <c r="O50" s="15">
        <f>O51</f>
        <v>131</v>
      </c>
      <c r="P50" s="85">
        <f>P51</f>
        <v>68835.16654</v>
      </c>
      <c r="Q50" s="85">
        <f>Q51</f>
        <v>64610.05806</v>
      </c>
      <c r="R50" s="85">
        <f>R51</f>
        <v>4225.10848</v>
      </c>
    </row>
    <row r="51" spans="1:18" ht="19.5" customHeight="1">
      <c r="A51" s="36">
        <v>12</v>
      </c>
      <c r="B51" s="9" t="s">
        <v>301</v>
      </c>
      <c r="C51" s="2"/>
      <c r="D51" s="2"/>
      <c r="E51" s="2"/>
      <c r="F51" s="13"/>
      <c r="G51" s="15"/>
      <c r="H51" s="15"/>
      <c r="I51" s="15"/>
      <c r="J51" s="15"/>
      <c r="K51" s="5" t="s">
        <v>93</v>
      </c>
      <c r="L51" s="5" t="s">
        <v>300</v>
      </c>
      <c r="M51" s="5" t="s">
        <v>168</v>
      </c>
      <c r="N51" s="15">
        <f>81409+96.99654-3500-1836.5-197.63-521-200</f>
        <v>75250.86654</v>
      </c>
      <c r="O51" s="15">
        <f>164-33</f>
        <v>131</v>
      </c>
      <c r="P51" s="85">
        <f>81409+96.99654-3500-1836.5-197.63-521-200+164-33-381.7-6165</f>
        <v>68835.16654</v>
      </c>
      <c r="Q51" s="93">
        <v>64610.05806</v>
      </c>
      <c r="R51" s="89">
        <f>P51-Q51</f>
        <v>4225.10848</v>
      </c>
    </row>
    <row r="52" spans="1:18" ht="27" customHeight="1">
      <c r="A52" s="36">
        <v>13</v>
      </c>
      <c r="B52" s="9" t="s">
        <v>413</v>
      </c>
      <c r="C52" s="2"/>
      <c r="D52" s="2"/>
      <c r="E52" s="2"/>
      <c r="F52" s="13"/>
      <c r="G52" s="15"/>
      <c r="H52" s="15"/>
      <c r="I52" s="15"/>
      <c r="J52" s="15"/>
      <c r="K52" s="5" t="s">
        <v>414</v>
      </c>
      <c r="L52" s="5"/>
      <c r="M52" s="5"/>
      <c r="N52" s="15">
        <f aca="true" t="shared" si="1" ref="N52:R53">N53</f>
        <v>15.7</v>
      </c>
      <c r="O52" s="15">
        <f t="shared" si="1"/>
        <v>0</v>
      </c>
      <c r="P52" s="85">
        <f t="shared" si="1"/>
        <v>15.7</v>
      </c>
      <c r="Q52" s="85">
        <f t="shared" si="1"/>
        <v>0</v>
      </c>
      <c r="R52" s="85">
        <f t="shared" si="1"/>
        <v>15.7</v>
      </c>
    </row>
    <row r="53" spans="1:18" ht="31.5" customHeight="1">
      <c r="A53" s="36">
        <v>14</v>
      </c>
      <c r="B53" s="9" t="s">
        <v>299</v>
      </c>
      <c r="C53" s="2"/>
      <c r="D53" s="2"/>
      <c r="E53" s="2"/>
      <c r="F53" s="13"/>
      <c r="G53" s="15"/>
      <c r="H53" s="15"/>
      <c r="I53" s="15"/>
      <c r="J53" s="15"/>
      <c r="K53" s="5" t="s">
        <v>414</v>
      </c>
      <c r="L53" s="2" t="s">
        <v>127</v>
      </c>
      <c r="M53" s="5"/>
      <c r="N53" s="15">
        <f t="shared" si="1"/>
        <v>15.7</v>
      </c>
      <c r="O53" s="15">
        <f t="shared" si="1"/>
        <v>0</v>
      </c>
      <c r="P53" s="85">
        <f t="shared" si="1"/>
        <v>15.7</v>
      </c>
      <c r="Q53" s="85">
        <f t="shared" si="1"/>
        <v>0</v>
      </c>
      <c r="R53" s="85">
        <f t="shared" si="1"/>
        <v>15.7</v>
      </c>
    </row>
    <row r="54" spans="1:18" ht="45.75" customHeight="1">
      <c r="A54" s="36">
        <v>15</v>
      </c>
      <c r="B54" s="9" t="s">
        <v>416</v>
      </c>
      <c r="C54" s="8"/>
      <c r="D54" s="8"/>
      <c r="E54" s="2"/>
      <c r="F54" s="7"/>
      <c r="G54" s="15"/>
      <c r="H54" s="15"/>
      <c r="I54" s="15"/>
      <c r="J54" s="15"/>
      <c r="K54" s="5" t="s">
        <v>414</v>
      </c>
      <c r="L54" s="2" t="s">
        <v>127</v>
      </c>
      <c r="M54" s="5" t="s">
        <v>415</v>
      </c>
      <c r="N54" s="15">
        <v>15.7</v>
      </c>
      <c r="O54" s="15"/>
      <c r="P54" s="85">
        <v>15.7</v>
      </c>
      <c r="Q54" s="93"/>
      <c r="R54" s="89">
        <f>P54-Q54</f>
        <v>15.7</v>
      </c>
    </row>
    <row r="55" spans="1:18" ht="32.25" customHeight="1">
      <c r="A55" s="36">
        <v>16</v>
      </c>
      <c r="B55" s="9" t="s">
        <v>99</v>
      </c>
      <c r="C55" s="8" t="e">
        <f>C57</f>
        <v>#REF!</v>
      </c>
      <c r="D55" s="8" t="e">
        <f>D57</f>
        <v>#REF!</v>
      </c>
      <c r="E55" s="2"/>
      <c r="F55" s="7"/>
      <c r="G55" s="15" t="e">
        <f>G57</f>
        <v>#REF!</v>
      </c>
      <c r="H55" s="15" t="e">
        <f>H57</f>
        <v>#REF!</v>
      </c>
      <c r="I55" s="15" t="e">
        <f>I57</f>
        <v>#REF!</v>
      </c>
      <c r="J55" s="15" t="e">
        <f>J57</f>
        <v>#REF!</v>
      </c>
      <c r="K55" s="5" t="s">
        <v>98</v>
      </c>
      <c r="L55" s="5"/>
      <c r="M55" s="5"/>
      <c r="N55" s="15">
        <f aca="true" t="shared" si="2" ref="N55:R56">N56</f>
        <v>7631.5</v>
      </c>
      <c r="O55" s="15">
        <f t="shared" si="2"/>
        <v>0</v>
      </c>
      <c r="P55" s="85">
        <f t="shared" si="2"/>
        <v>6153.9</v>
      </c>
      <c r="Q55" s="85">
        <f t="shared" si="2"/>
        <v>6068.34815</v>
      </c>
      <c r="R55" s="85">
        <f t="shared" si="2"/>
        <v>85.55185</v>
      </c>
    </row>
    <row r="56" spans="1:18" ht="32.25" customHeight="1">
      <c r="A56" s="36">
        <v>17</v>
      </c>
      <c r="B56" s="9" t="s">
        <v>299</v>
      </c>
      <c r="C56" s="8"/>
      <c r="D56" s="8"/>
      <c r="E56" s="2"/>
      <c r="F56" s="7"/>
      <c r="G56" s="15"/>
      <c r="H56" s="15"/>
      <c r="I56" s="15"/>
      <c r="J56" s="15"/>
      <c r="K56" s="5" t="s">
        <v>98</v>
      </c>
      <c r="L56" s="5" t="s">
        <v>300</v>
      </c>
      <c r="M56" s="5"/>
      <c r="N56" s="15">
        <f t="shared" si="2"/>
        <v>7631.5</v>
      </c>
      <c r="O56" s="15">
        <f t="shared" si="2"/>
        <v>0</v>
      </c>
      <c r="P56" s="85">
        <f t="shared" si="2"/>
        <v>6153.9</v>
      </c>
      <c r="Q56" s="85">
        <f t="shared" si="2"/>
        <v>6068.34815</v>
      </c>
      <c r="R56" s="85">
        <f t="shared" si="2"/>
        <v>85.55185</v>
      </c>
    </row>
    <row r="57" spans="1:18" ht="15.75">
      <c r="A57" s="36">
        <v>18</v>
      </c>
      <c r="B57" s="9" t="s">
        <v>301</v>
      </c>
      <c r="C57" s="2" t="e">
        <f>#REF!</f>
        <v>#REF!</v>
      </c>
      <c r="D57" s="2" t="e">
        <f>#REF!</f>
        <v>#REF!</v>
      </c>
      <c r="E57" s="2"/>
      <c r="F57" s="7"/>
      <c r="G57" s="15" t="e">
        <f>#REF!</f>
        <v>#REF!</v>
      </c>
      <c r="H57" s="15" t="e">
        <f>#REF!</f>
        <v>#REF!</v>
      </c>
      <c r="I57" s="15" t="e">
        <f>#REF!</f>
        <v>#REF!</v>
      </c>
      <c r="J57" s="15" t="e">
        <f>#REF!</f>
        <v>#REF!</v>
      </c>
      <c r="K57" s="5" t="s">
        <v>98</v>
      </c>
      <c r="L57" s="5" t="s">
        <v>300</v>
      </c>
      <c r="M57" s="5" t="s">
        <v>168</v>
      </c>
      <c r="N57" s="15">
        <v>7631.5</v>
      </c>
      <c r="O57" s="15"/>
      <c r="P57" s="85">
        <f>7631.5-1477.6</f>
        <v>6153.9</v>
      </c>
      <c r="Q57" s="93">
        <v>6068.34815</v>
      </c>
      <c r="R57" s="89">
        <f>P57-Q57</f>
        <v>85.55185</v>
      </c>
    </row>
    <row r="58" spans="1:18" ht="38.25" customHeight="1" hidden="1">
      <c r="A58" s="72"/>
      <c r="B58" s="80" t="s">
        <v>32</v>
      </c>
      <c r="C58" s="78">
        <f>C60+C61+C62</f>
        <v>1754</v>
      </c>
      <c r="D58" s="78">
        <f>D60+D61+D62</f>
        <v>3113</v>
      </c>
      <c r="E58" s="78"/>
      <c r="F58" s="78"/>
      <c r="G58" s="75">
        <f>G59+G60+G61+G62</f>
        <v>4008.239</v>
      </c>
      <c r="H58" s="75">
        <f>H59+H60+H61+H62</f>
        <v>0</v>
      </c>
      <c r="I58" s="75">
        <f>I59+I60+I61+I62</f>
        <v>0</v>
      </c>
      <c r="J58" s="75">
        <f>J59+J60+J61+J62</f>
        <v>23.4</v>
      </c>
      <c r="K58" s="76" t="s">
        <v>72</v>
      </c>
      <c r="L58" s="76"/>
      <c r="M58" s="76"/>
      <c r="N58" s="75" t="e">
        <f>#REF!</f>
        <v>#REF!</v>
      </c>
      <c r="O58" s="75" t="e">
        <f>#REF!</f>
        <v>#REF!</v>
      </c>
      <c r="P58" s="86" t="e">
        <f>#REF!</f>
        <v>#REF!</v>
      </c>
      <c r="Q58" s="93"/>
      <c r="R58" s="93"/>
    </row>
    <row r="59" spans="1:18" ht="23.25" customHeight="1" hidden="1">
      <c r="A59" s="72"/>
      <c r="B59" s="73" t="s">
        <v>174</v>
      </c>
      <c r="C59" s="78"/>
      <c r="D59" s="78"/>
      <c r="E59" s="74" t="s">
        <v>127</v>
      </c>
      <c r="F59" s="79" t="s">
        <v>168</v>
      </c>
      <c r="G59" s="75">
        <v>185.5</v>
      </c>
      <c r="H59" s="75"/>
      <c r="I59" s="75"/>
      <c r="J59" s="75">
        <v>6.2</v>
      </c>
      <c r="K59" s="76" t="s">
        <v>72</v>
      </c>
      <c r="L59" s="76"/>
      <c r="M59" s="76"/>
      <c r="N59" s="75" t="e">
        <f>#REF!</f>
        <v>#REF!</v>
      </c>
      <c r="O59" s="75" t="e">
        <f>#REF!</f>
        <v>#REF!</v>
      </c>
      <c r="P59" s="86" t="e">
        <f>#REF!</f>
        <v>#REF!</v>
      </c>
      <c r="Q59" s="93"/>
      <c r="R59" s="93"/>
    </row>
    <row r="60" spans="1:18" ht="42" customHeight="1" hidden="1">
      <c r="A60" s="72"/>
      <c r="B60" s="80" t="s">
        <v>117</v>
      </c>
      <c r="C60" s="77">
        <v>1754</v>
      </c>
      <c r="D60" s="77">
        <v>3113</v>
      </c>
      <c r="E60" s="74" t="s">
        <v>127</v>
      </c>
      <c r="F60" s="77" t="s">
        <v>101</v>
      </c>
      <c r="G60" s="75">
        <v>460.5</v>
      </c>
      <c r="H60" s="75"/>
      <c r="I60" s="75"/>
      <c r="J60" s="75">
        <v>17.2</v>
      </c>
      <c r="K60" s="76" t="s">
        <v>72</v>
      </c>
      <c r="L60" s="76"/>
      <c r="M60" s="76"/>
      <c r="N60" s="75" t="e">
        <f>#REF!</f>
        <v>#REF!</v>
      </c>
      <c r="O60" s="75" t="e">
        <f>#REF!</f>
        <v>#REF!</v>
      </c>
      <c r="P60" s="86" t="e">
        <f>#REF!</f>
        <v>#REF!</v>
      </c>
      <c r="Q60" s="93"/>
      <c r="R60" s="93"/>
    </row>
    <row r="61" spans="1:18" ht="47.25" customHeight="1" hidden="1">
      <c r="A61" s="72"/>
      <c r="B61" s="80" t="s">
        <v>116</v>
      </c>
      <c r="C61" s="77"/>
      <c r="D61" s="77"/>
      <c r="E61" s="77" t="s">
        <v>128</v>
      </c>
      <c r="F61" s="77" t="s">
        <v>102</v>
      </c>
      <c r="G61" s="75">
        <v>2181.43894</v>
      </c>
      <c r="H61" s="75"/>
      <c r="I61" s="75"/>
      <c r="J61" s="75"/>
      <c r="K61" s="76" t="s">
        <v>72</v>
      </c>
      <c r="L61" s="76"/>
      <c r="M61" s="76"/>
      <c r="N61" s="75" t="e">
        <f>#REF!</f>
        <v>#REF!</v>
      </c>
      <c r="O61" s="75" t="e">
        <f>#REF!</f>
        <v>#REF!</v>
      </c>
      <c r="P61" s="86" t="e">
        <f>#REF!</f>
        <v>#REF!</v>
      </c>
      <c r="Q61" s="93"/>
      <c r="R61" s="93"/>
    </row>
    <row r="62" spans="1:18" ht="31.5">
      <c r="A62" s="36">
        <v>19</v>
      </c>
      <c r="B62" s="9" t="s">
        <v>100</v>
      </c>
      <c r="C62" s="3"/>
      <c r="D62" s="3"/>
      <c r="E62" s="3" t="s">
        <v>128</v>
      </c>
      <c r="F62" s="3" t="s">
        <v>103</v>
      </c>
      <c r="G62" s="15">
        <v>1180.80006</v>
      </c>
      <c r="H62" s="15"/>
      <c r="I62" s="15"/>
      <c r="J62" s="15"/>
      <c r="K62" s="5" t="s">
        <v>72</v>
      </c>
      <c r="L62" s="5"/>
      <c r="M62" s="5"/>
      <c r="N62" s="15">
        <f>N63</f>
        <v>1353.4</v>
      </c>
      <c r="O62" s="15">
        <f>O63</f>
        <v>0</v>
      </c>
      <c r="P62" s="85">
        <f>P63</f>
        <v>1353.4</v>
      </c>
      <c r="Q62" s="85">
        <f>Q63</f>
        <v>1172.75686</v>
      </c>
      <c r="R62" s="85">
        <f>R63</f>
        <v>180.64314</v>
      </c>
    </row>
    <row r="63" spans="1:18" ht="31.5">
      <c r="A63" s="36">
        <v>20</v>
      </c>
      <c r="B63" s="9" t="s">
        <v>299</v>
      </c>
      <c r="C63" s="8"/>
      <c r="D63" s="8"/>
      <c r="E63" s="2"/>
      <c r="F63" s="7"/>
      <c r="G63" s="15"/>
      <c r="H63" s="15"/>
      <c r="I63" s="15"/>
      <c r="J63" s="15"/>
      <c r="K63" s="5" t="s">
        <v>72</v>
      </c>
      <c r="L63" s="5" t="s">
        <v>300</v>
      </c>
      <c r="M63" s="5"/>
      <c r="N63" s="15">
        <f>N64+N65+N67</f>
        <v>1353.4</v>
      </c>
      <c r="O63" s="15">
        <f>O64+O65+O67</f>
        <v>0</v>
      </c>
      <c r="P63" s="85">
        <f>P64+P65+P67</f>
        <v>1353.4</v>
      </c>
      <c r="Q63" s="85">
        <f>Q64+Q65+Q67</f>
        <v>1172.75686</v>
      </c>
      <c r="R63" s="85">
        <f>R64+R65+R67</f>
        <v>180.64314</v>
      </c>
    </row>
    <row r="64" spans="1:18" ht="15.75">
      <c r="A64" s="36">
        <v>21</v>
      </c>
      <c r="B64" s="9" t="s">
        <v>301</v>
      </c>
      <c r="C64" s="3"/>
      <c r="D64" s="3"/>
      <c r="E64" s="3"/>
      <c r="F64" s="3"/>
      <c r="G64" s="15"/>
      <c r="H64" s="15"/>
      <c r="I64" s="15"/>
      <c r="J64" s="15"/>
      <c r="K64" s="5" t="s">
        <v>72</v>
      </c>
      <c r="L64" s="5" t="s">
        <v>300</v>
      </c>
      <c r="M64" s="5" t="s">
        <v>168</v>
      </c>
      <c r="N64" s="15">
        <v>211</v>
      </c>
      <c r="O64" s="15"/>
      <c r="P64" s="85">
        <v>211</v>
      </c>
      <c r="Q64" s="93">
        <v>170.50469</v>
      </c>
      <c r="R64" s="89">
        <f>P64-Q64</f>
        <v>40.49531</v>
      </c>
    </row>
    <row r="65" spans="1:18" ht="31.5">
      <c r="A65" s="36">
        <v>22</v>
      </c>
      <c r="B65" s="6" t="s">
        <v>417</v>
      </c>
      <c r="C65" s="3"/>
      <c r="D65" s="3"/>
      <c r="E65" s="3"/>
      <c r="F65" s="3"/>
      <c r="G65" s="15"/>
      <c r="H65" s="15"/>
      <c r="I65" s="15"/>
      <c r="J65" s="15"/>
      <c r="K65" s="5" t="s">
        <v>72</v>
      </c>
      <c r="L65" s="5" t="s">
        <v>300</v>
      </c>
      <c r="M65" s="5" t="s">
        <v>101</v>
      </c>
      <c r="N65" s="15">
        <v>583.9</v>
      </c>
      <c r="O65" s="15"/>
      <c r="P65" s="85">
        <v>583.9</v>
      </c>
      <c r="Q65" s="93">
        <v>443.83713</v>
      </c>
      <c r="R65" s="89">
        <f>P65-Q65</f>
        <v>140.06287</v>
      </c>
    </row>
    <row r="66" spans="1:18" ht="15.75">
      <c r="A66" s="36">
        <v>23</v>
      </c>
      <c r="B66" s="54" t="s">
        <v>463</v>
      </c>
      <c r="C66" s="3"/>
      <c r="D66" s="3"/>
      <c r="E66" s="3"/>
      <c r="F66" s="3"/>
      <c r="G66" s="15"/>
      <c r="H66" s="15"/>
      <c r="I66" s="15"/>
      <c r="J66" s="15"/>
      <c r="K66" s="5" t="s">
        <v>72</v>
      </c>
      <c r="L66" s="5" t="s">
        <v>462</v>
      </c>
      <c r="M66" s="5"/>
      <c r="N66" s="15">
        <f>N67</f>
        <v>558.5</v>
      </c>
      <c r="O66" s="15">
        <f>O67</f>
        <v>0</v>
      </c>
      <c r="P66" s="85">
        <f>P67</f>
        <v>558.5</v>
      </c>
      <c r="Q66" s="85">
        <f>Q67</f>
        <v>558.41504</v>
      </c>
      <c r="R66" s="85">
        <f>R67</f>
        <v>0.08496</v>
      </c>
    </row>
    <row r="67" spans="1:18" ht="31.5">
      <c r="A67" s="36">
        <v>24</v>
      </c>
      <c r="B67" s="6" t="s">
        <v>418</v>
      </c>
      <c r="C67" s="3"/>
      <c r="D67" s="3"/>
      <c r="E67" s="3"/>
      <c r="F67" s="3"/>
      <c r="G67" s="15"/>
      <c r="H67" s="15"/>
      <c r="I67" s="15"/>
      <c r="J67" s="15"/>
      <c r="K67" s="5" t="s">
        <v>72</v>
      </c>
      <c r="L67" s="5" t="s">
        <v>462</v>
      </c>
      <c r="M67" s="5" t="s">
        <v>102</v>
      </c>
      <c r="N67" s="15">
        <v>558.5</v>
      </c>
      <c r="O67" s="15"/>
      <c r="P67" s="85">
        <v>558.5</v>
      </c>
      <c r="Q67" s="93">
        <v>558.41504</v>
      </c>
      <c r="R67" s="89">
        <f>P67-Q67</f>
        <v>0.08496</v>
      </c>
    </row>
    <row r="68" spans="1:18" ht="31.5">
      <c r="A68" s="36">
        <v>25</v>
      </c>
      <c r="B68" s="6" t="s">
        <v>443</v>
      </c>
      <c r="C68" s="3"/>
      <c r="D68" s="3"/>
      <c r="E68" s="3"/>
      <c r="F68" s="3"/>
      <c r="G68" s="15"/>
      <c r="H68" s="15"/>
      <c r="I68" s="15"/>
      <c r="J68" s="15"/>
      <c r="K68" s="5" t="s">
        <v>444</v>
      </c>
      <c r="L68" s="5"/>
      <c r="M68" s="5"/>
      <c r="N68" s="15">
        <f aca="true" t="shared" si="3" ref="N68:R69">N69</f>
        <v>2166</v>
      </c>
      <c r="O68" s="15">
        <f t="shared" si="3"/>
        <v>0</v>
      </c>
      <c r="P68" s="85">
        <f t="shared" si="3"/>
        <v>1166</v>
      </c>
      <c r="Q68" s="85">
        <f t="shared" si="3"/>
        <v>0</v>
      </c>
      <c r="R68" s="85">
        <f t="shared" si="3"/>
        <v>1166</v>
      </c>
    </row>
    <row r="69" spans="1:18" ht="31.5">
      <c r="A69" s="36">
        <v>26</v>
      </c>
      <c r="B69" s="6" t="s">
        <v>447</v>
      </c>
      <c r="C69" s="3"/>
      <c r="D69" s="3"/>
      <c r="E69" s="3"/>
      <c r="F69" s="3"/>
      <c r="G69" s="15"/>
      <c r="H69" s="15"/>
      <c r="I69" s="15"/>
      <c r="J69" s="15"/>
      <c r="K69" s="5" t="s">
        <v>444</v>
      </c>
      <c r="L69" s="5" t="s">
        <v>445</v>
      </c>
      <c r="M69" s="5"/>
      <c r="N69" s="15">
        <f t="shared" si="3"/>
        <v>2166</v>
      </c>
      <c r="O69" s="15">
        <f t="shared" si="3"/>
        <v>0</v>
      </c>
      <c r="P69" s="85">
        <f t="shared" si="3"/>
        <v>1166</v>
      </c>
      <c r="Q69" s="85">
        <f t="shared" si="3"/>
        <v>0</v>
      </c>
      <c r="R69" s="85">
        <f t="shared" si="3"/>
        <v>1166</v>
      </c>
    </row>
    <row r="70" spans="1:18" ht="15.75">
      <c r="A70" s="36">
        <v>27</v>
      </c>
      <c r="B70" s="6" t="s">
        <v>446</v>
      </c>
      <c r="C70" s="3"/>
      <c r="D70" s="3"/>
      <c r="E70" s="3"/>
      <c r="F70" s="3"/>
      <c r="G70" s="15"/>
      <c r="H70" s="15"/>
      <c r="I70" s="15"/>
      <c r="J70" s="15"/>
      <c r="K70" s="5" t="s">
        <v>444</v>
      </c>
      <c r="L70" s="5" t="s">
        <v>445</v>
      </c>
      <c r="M70" s="5" t="s">
        <v>448</v>
      </c>
      <c r="N70" s="15">
        <v>2166</v>
      </c>
      <c r="O70" s="15"/>
      <c r="P70" s="85">
        <v>1166</v>
      </c>
      <c r="Q70" s="93"/>
      <c r="R70" s="89">
        <f>P70-Q70</f>
        <v>1166</v>
      </c>
    </row>
    <row r="71" spans="1:18" ht="27" customHeight="1" hidden="1">
      <c r="A71" s="36">
        <v>28</v>
      </c>
      <c r="B71" s="6" t="s">
        <v>159</v>
      </c>
      <c r="C71" s="4" t="e">
        <f>#REF!</f>
        <v>#REF!</v>
      </c>
      <c r="D71" s="4" t="e">
        <f>#REF!</f>
        <v>#REF!</v>
      </c>
      <c r="E71" s="4"/>
      <c r="F71" s="4"/>
      <c r="G71" s="15" t="e">
        <f>#REF!</f>
        <v>#REF!</v>
      </c>
      <c r="H71" s="15"/>
      <c r="I71" s="15"/>
      <c r="J71" s="15"/>
      <c r="K71" s="5" t="s">
        <v>73</v>
      </c>
      <c r="L71" s="5"/>
      <c r="M71" s="5"/>
      <c r="N71" s="15">
        <f aca="true" t="shared" si="4" ref="N71:R72">N72</f>
        <v>1000</v>
      </c>
      <c r="O71" s="15">
        <f t="shared" si="4"/>
        <v>0</v>
      </c>
      <c r="P71" s="85">
        <f t="shared" si="4"/>
        <v>1000</v>
      </c>
      <c r="Q71" s="93"/>
      <c r="R71" s="93"/>
    </row>
    <row r="72" spans="1:18" ht="15.75">
      <c r="A72" s="36">
        <v>28</v>
      </c>
      <c r="B72" s="6" t="s">
        <v>159</v>
      </c>
      <c r="C72" s="3"/>
      <c r="D72" s="3"/>
      <c r="E72" s="3"/>
      <c r="F72" s="3"/>
      <c r="G72" s="3"/>
      <c r="H72" s="3"/>
      <c r="I72" s="3"/>
      <c r="J72" s="3"/>
      <c r="K72" s="5" t="s">
        <v>73</v>
      </c>
      <c r="L72" s="7" t="s">
        <v>395</v>
      </c>
      <c r="M72" s="5"/>
      <c r="N72" s="15">
        <f t="shared" si="4"/>
        <v>1000</v>
      </c>
      <c r="O72" s="15">
        <f t="shared" si="4"/>
        <v>0</v>
      </c>
      <c r="P72" s="85">
        <f t="shared" si="4"/>
        <v>1000</v>
      </c>
      <c r="Q72" s="85">
        <f t="shared" si="4"/>
        <v>0</v>
      </c>
      <c r="R72" s="85">
        <f t="shared" si="4"/>
        <v>1000</v>
      </c>
    </row>
    <row r="73" spans="1:18" ht="15.75">
      <c r="A73" s="36">
        <v>29</v>
      </c>
      <c r="B73" s="48" t="s">
        <v>303</v>
      </c>
      <c r="C73" s="3"/>
      <c r="D73" s="3"/>
      <c r="E73" s="3"/>
      <c r="F73" s="3"/>
      <c r="G73" s="3"/>
      <c r="H73" s="3"/>
      <c r="I73" s="3"/>
      <c r="J73" s="3"/>
      <c r="K73" s="5" t="s">
        <v>302</v>
      </c>
      <c r="L73" s="7" t="s">
        <v>395</v>
      </c>
      <c r="M73" s="3" t="s">
        <v>104</v>
      </c>
      <c r="N73" s="15">
        <v>1000</v>
      </c>
      <c r="O73" s="15"/>
      <c r="P73" s="85">
        <f>1000</f>
        <v>1000</v>
      </c>
      <c r="Q73" s="93"/>
      <c r="R73" s="89">
        <f>P73-Q73</f>
        <v>1000</v>
      </c>
    </row>
    <row r="74" spans="1:18" ht="27" customHeight="1">
      <c r="A74" s="36">
        <v>30</v>
      </c>
      <c r="B74" s="6" t="s">
        <v>106</v>
      </c>
      <c r="C74" s="4" t="e">
        <f>#REF!</f>
        <v>#REF!</v>
      </c>
      <c r="D74" s="4" t="e">
        <f>#REF!</f>
        <v>#REF!</v>
      </c>
      <c r="E74" s="4"/>
      <c r="F74" s="4"/>
      <c r="G74" s="15" t="e">
        <f>#REF!+G75+G76</f>
        <v>#REF!</v>
      </c>
      <c r="H74" s="15" t="e">
        <f>#REF!+H75+H76</f>
        <v>#REF!</v>
      </c>
      <c r="I74" s="15" t="e">
        <f>#REF!+I75+I76</f>
        <v>#REF!</v>
      </c>
      <c r="J74" s="15" t="e">
        <f>#REF!+J75+J76</f>
        <v>#REF!</v>
      </c>
      <c r="K74" s="5" t="s">
        <v>105</v>
      </c>
      <c r="L74" s="5"/>
      <c r="M74" s="5"/>
      <c r="N74" s="15">
        <f>N75+N78+N80</f>
        <v>37748.41167</v>
      </c>
      <c r="O74" s="15">
        <f>O75+O78+O80</f>
        <v>-15558.1</v>
      </c>
      <c r="P74" s="85">
        <f>P75+P78+P80</f>
        <v>19490.31167</v>
      </c>
      <c r="Q74" s="85">
        <f>Q75+Q78+Q80</f>
        <v>-20228.14868</v>
      </c>
      <c r="R74" s="85">
        <f>R75+R78+R80</f>
        <v>39718.46035</v>
      </c>
    </row>
    <row r="75" spans="1:18" ht="31.5">
      <c r="A75" s="36">
        <v>31</v>
      </c>
      <c r="B75" s="9" t="s">
        <v>299</v>
      </c>
      <c r="C75" s="3"/>
      <c r="D75" s="3"/>
      <c r="E75" s="2" t="s">
        <v>143</v>
      </c>
      <c r="F75" s="3">
        <v>520</v>
      </c>
      <c r="G75" s="15">
        <v>-132985</v>
      </c>
      <c r="H75" s="15"/>
      <c r="I75" s="15"/>
      <c r="J75" s="15"/>
      <c r="K75" s="5" t="s">
        <v>105</v>
      </c>
      <c r="L75" s="5" t="s">
        <v>300</v>
      </c>
      <c r="M75" s="5"/>
      <c r="N75" s="15">
        <f>N76</f>
        <v>1955</v>
      </c>
      <c r="O75" s="15">
        <f>O76+O77</f>
        <v>141.9</v>
      </c>
      <c r="P75" s="85">
        <f>P76+P77</f>
        <v>396.9</v>
      </c>
      <c r="Q75" s="85">
        <f>Q76+Q77</f>
        <v>141.87632</v>
      </c>
      <c r="R75" s="85">
        <f>R76+R77</f>
        <v>255.02368</v>
      </c>
    </row>
    <row r="76" spans="1:18" ht="43.5" customHeight="1">
      <c r="A76" s="36">
        <v>32</v>
      </c>
      <c r="B76" s="47" t="s">
        <v>305</v>
      </c>
      <c r="C76" s="3"/>
      <c r="D76" s="3"/>
      <c r="E76" s="2" t="s">
        <v>213</v>
      </c>
      <c r="F76" s="3">
        <v>809</v>
      </c>
      <c r="G76" s="15">
        <v>86394.28667</v>
      </c>
      <c r="H76" s="21"/>
      <c r="I76" s="21">
        <f>-7400-240</f>
        <v>-7640</v>
      </c>
      <c r="J76" s="21"/>
      <c r="K76" s="5" t="s">
        <v>105</v>
      </c>
      <c r="L76" s="5" t="s">
        <v>300</v>
      </c>
      <c r="M76" s="5" t="s">
        <v>304</v>
      </c>
      <c r="N76" s="15">
        <f>1500+455</f>
        <v>1955</v>
      </c>
      <c r="O76" s="15"/>
      <c r="P76" s="85">
        <f>1500+455-1700</f>
        <v>255</v>
      </c>
      <c r="Q76" s="93">
        <v>108.8</v>
      </c>
      <c r="R76" s="89">
        <f>P76-Q76</f>
        <v>146.2</v>
      </c>
    </row>
    <row r="77" spans="1:18" ht="36" customHeight="1">
      <c r="A77" s="36">
        <v>33</v>
      </c>
      <c r="B77" s="47" t="s">
        <v>465</v>
      </c>
      <c r="C77" s="3"/>
      <c r="D77" s="3"/>
      <c r="E77" s="2"/>
      <c r="F77" s="3"/>
      <c r="G77" s="15"/>
      <c r="H77" s="21"/>
      <c r="I77" s="21"/>
      <c r="J77" s="21"/>
      <c r="K77" s="5" t="s">
        <v>105</v>
      </c>
      <c r="L77" s="5" t="s">
        <v>300</v>
      </c>
      <c r="M77" s="5" t="s">
        <v>464</v>
      </c>
      <c r="N77" s="15"/>
      <c r="O77" s="15">
        <v>141.9</v>
      </c>
      <c r="P77" s="85">
        <v>141.9</v>
      </c>
      <c r="Q77" s="93">
        <v>33.07632</v>
      </c>
      <c r="R77" s="89">
        <f>P77-Q77</f>
        <v>108.82368</v>
      </c>
    </row>
    <row r="78" spans="1:18" ht="36" customHeight="1">
      <c r="A78" s="36">
        <v>34</v>
      </c>
      <c r="B78" s="47" t="s">
        <v>306</v>
      </c>
      <c r="C78" s="3"/>
      <c r="D78" s="3"/>
      <c r="E78" s="2"/>
      <c r="F78" s="3"/>
      <c r="G78" s="15"/>
      <c r="H78" s="21"/>
      <c r="I78" s="21"/>
      <c r="J78" s="21"/>
      <c r="K78" s="5" t="s">
        <v>105</v>
      </c>
      <c r="L78" s="13" t="s">
        <v>307</v>
      </c>
      <c r="M78" s="5"/>
      <c r="N78" s="15">
        <f>N79</f>
        <v>-175837.393</v>
      </c>
      <c r="O78" s="15">
        <f>O79</f>
        <v>0</v>
      </c>
      <c r="P78" s="85">
        <f>P79</f>
        <v>-175837.393</v>
      </c>
      <c r="Q78" s="85">
        <f>Q79</f>
        <v>-20370.025</v>
      </c>
      <c r="R78" s="95">
        <f>R79</f>
        <v>-155467.368</v>
      </c>
    </row>
    <row r="79" spans="1:18" ht="23.25" customHeight="1">
      <c r="A79" s="36">
        <v>35</v>
      </c>
      <c r="B79" s="48" t="s">
        <v>309</v>
      </c>
      <c r="C79" s="3"/>
      <c r="D79" s="3"/>
      <c r="E79" s="2"/>
      <c r="F79" s="3"/>
      <c r="G79" s="15"/>
      <c r="H79" s="21"/>
      <c r="I79" s="21"/>
      <c r="J79" s="21"/>
      <c r="K79" s="5" t="s">
        <v>105</v>
      </c>
      <c r="L79" s="13" t="s">
        <v>307</v>
      </c>
      <c r="M79" s="5" t="s">
        <v>308</v>
      </c>
      <c r="N79" s="15">
        <v>-175837.393</v>
      </c>
      <c r="O79" s="15"/>
      <c r="P79" s="85">
        <v>-175837.393</v>
      </c>
      <c r="Q79" s="93">
        <v>-20370.025</v>
      </c>
      <c r="R79" s="96">
        <f>P79-Q79</f>
        <v>-155467.368</v>
      </c>
    </row>
    <row r="80" spans="1:18" ht="23.25" customHeight="1">
      <c r="A80" s="36">
        <v>36</v>
      </c>
      <c r="B80" s="49" t="s">
        <v>310</v>
      </c>
      <c r="C80" s="3"/>
      <c r="D80" s="3"/>
      <c r="E80" s="2"/>
      <c r="F80" s="3"/>
      <c r="G80" s="15"/>
      <c r="H80" s="21"/>
      <c r="I80" s="21"/>
      <c r="J80" s="21"/>
      <c r="K80" s="5" t="s">
        <v>105</v>
      </c>
      <c r="L80" s="2">
        <v>5220000</v>
      </c>
      <c r="M80" s="5"/>
      <c r="N80" s="15">
        <f>N81</f>
        <v>211630.80467</v>
      </c>
      <c r="O80" s="15">
        <f>O81</f>
        <v>-15700</v>
      </c>
      <c r="P80" s="85">
        <f>P81</f>
        <v>194930.80467</v>
      </c>
      <c r="Q80" s="85">
        <f>Q81</f>
        <v>0</v>
      </c>
      <c r="R80" s="85">
        <f>R81</f>
        <v>194930.80467</v>
      </c>
    </row>
    <row r="81" spans="1:18" ht="45.75" customHeight="1">
      <c r="A81" s="36">
        <v>37</v>
      </c>
      <c r="B81" s="6" t="s">
        <v>291</v>
      </c>
      <c r="C81" s="3"/>
      <c r="D81" s="3"/>
      <c r="E81" s="2"/>
      <c r="F81" s="3"/>
      <c r="G81" s="15"/>
      <c r="H81" s="21"/>
      <c r="I81" s="21"/>
      <c r="J81" s="21"/>
      <c r="K81" s="5" t="s">
        <v>105</v>
      </c>
      <c r="L81" s="2">
        <v>5220000</v>
      </c>
      <c r="M81" s="3">
        <v>809</v>
      </c>
      <c r="N81" s="15">
        <f>41344+175837.393-871-4679.58833</f>
        <v>211630.80467</v>
      </c>
      <c r="O81" s="15">
        <v>-15700</v>
      </c>
      <c r="P81" s="85">
        <f>41344+175837.393-871-4679.58833-15700-1000</f>
        <v>194930.80467</v>
      </c>
      <c r="Q81" s="93"/>
      <c r="R81" s="89">
        <f>P81-Q81</f>
        <v>194930.80467</v>
      </c>
    </row>
    <row r="82" spans="1:18" s="24" customFormat="1" ht="33.75" customHeight="1">
      <c r="A82" s="66">
        <v>38</v>
      </c>
      <c r="B82" s="26" t="s">
        <v>197</v>
      </c>
      <c r="C82" s="27" t="e">
        <f>C84+C103+#REF!</f>
        <v>#REF!</v>
      </c>
      <c r="D82" s="27" t="e">
        <f>D84+D103+#REF!</f>
        <v>#REF!</v>
      </c>
      <c r="E82" s="27"/>
      <c r="F82" s="27"/>
      <c r="G82" s="28" t="e">
        <f>G84+G103+#REF!</f>
        <v>#REF!</v>
      </c>
      <c r="H82" s="28" t="e">
        <f>H84+H103+#REF!</f>
        <v>#REF!</v>
      </c>
      <c r="I82" s="28" t="e">
        <f>I84+I103+#REF!</f>
        <v>#REF!</v>
      </c>
      <c r="J82" s="28" t="e">
        <f>J84+J103+#REF!</f>
        <v>#REF!</v>
      </c>
      <c r="K82" s="29" t="s">
        <v>43</v>
      </c>
      <c r="L82" s="29"/>
      <c r="M82" s="29"/>
      <c r="N82" s="28">
        <f>N83+N103</f>
        <v>118382.26959</v>
      </c>
      <c r="O82" s="28">
        <f>O83+O103</f>
        <v>0</v>
      </c>
      <c r="P82" s="84">
        <f>P83+P103</f>
        <v>113849.96959</v>
      </c>
      <c r="Q82" s="84">
        <f>Q83+Q103</f>
        <v>105358.74845</v>
      </c>
      <c r="R82" s="84">
        <f>R83+R103</f>
        <v>8491.22114</v>
      </c>
    </row>
    <row r="83" spans="1:18" ht="24.75" customHeight="1">
      <c r="A83" s="36">
        <v>39</v>
      </c>
      <c r="B83" s="9" t="s">
        <v>5</v>
      </c>
      <c r="C83" s="27"/>
      <c r="D83" s="27"/>
      <c r="E83" s="27"/>
      <c r="F83" s="27"/>
      <c r="G83" s="28"/>
      <c r="H83" s="28"/>
      <c r="I83" s="28"/>
      <c r="J83" s="28"/>
      <c r="K83" s="5" t="s">
        <v>42</v>
      </c>
      <c r="L83" s="29"/>
      <c r="M83" s="29"/>
      <c r="N83" s="15">
        <f>N84</f>
        <v>103974.66959</v>
      </c>
      <c r="O83" s="15">
        <f>O84</f>
        <v>0</v>
      </c>
      <c r="P83" s="85">
        <f>P84</f>
        <v>99596.66959</v>
      </c>
      <c r="Q83" s="85">
        <f>Q84</f>
        <v>91812.52078</v>
      </c>
      <c r="R83" s="85">
        <f>R84</f>
        <v>7784.14881</v>
      </c>
    </row>
    <row r="84" spans="1:18" ht="21" customHeight="1">
      <c r="A84" s="36">
        <v>40</v>
      </c>
      <c r="B84" s="48" t="s">
        <v>311</v>
      </c>
      <c r="C84" s="4" t="e">
        <f>#REF!+#REF!</f>
        <v>#REF!</v>
      </c>
      <c r="D84" s="4" t="e">
        <f>#REF!+#REF!</f>
        <v>#REF!</v>
      </c>
      <c r="E84" s="4"/>
      <c r="F84" s="4"/>
      <c r="G84" s="15" t="e">
        <f>G85+G92+G99+G100</f>
        <v>#REF!</v>
      </c>
      <c r="H84" s="15" t="e">
        <f>H85+H92+H99+H100</f>
        <v>#REF!</v>
      </c>
      <c r="I84" s="15" t="e">
        <f>I85+I92+I99+I100</f>
        <v>#REF!</v>
      </c>
      <c r="J84" s="15" t="e">
        <f>J85+J92+J99+J100</f>
        <v>#REF!</v>
      </c>
      <c r="K84" s="5" t="s">
        <v>42</v>
      </c>
      <c r="L84" s="5" t="s">
        <v>312</v>
      </c>
      <c r="M84" s="5"/>
      <c r="N84" s="15">
        <f>SUM(N97:N102)</f>
        <v>103974.66959</v>
      </c>
      <c r="O84" s="15">
        <f>SUM(O97:O102)</f>
        <v>0</v>
      </c>
      <c r="P84" s="85">
        <f>SUM(P97:P102)</f>
        <v>99596.66959</v>
      </c>
      <c r="Q84" s="85">
        <f>SUM(Q97:Q102)</f>
        <v>91812.52078</v>
      </c>
      <c r="R84" s="85">
        <f>SUM(R97:R102)</f>
        <v>7784.14881</v>
      </c>
    </row>
    <row r="85" spans="1:18" ht="36" customHeight="1" hidden="1">
      <c r="A85" s="36"/>
      <c r="B85" s="9" t="s">
        <v>181</v>
      </c>
      <c r="C85" s="3"/>
      <c r="D85" s="3"/>
      <c r="E85" s="3"/>
      <c r="F85" s="3"/>
      <c r="G85" s="15">
        <f>G86+G87+G88+G89+G90+G91</f>
        <v>81513.56601</v>
      </c>
      <c r="H85" s="15">
        <f>H86+H87+H88+H89+H90+H91</f>
        <v>0</v>
      </c>
      <c r="I85" s="15">
        <f>I86+I87+I88+I89+I90+I91</f>
        <v>0</v>
      </c>
      <c r="J85" s="15">
        <f>J86+J87+J88+J89+J90+J91</f>
        <v>0</v>
      </c>
      <c r="K85" s="5" t="s">
        <v>42</v>
      </c>
      <c r="L85" s="5"/>
      <c r="M85" s="5"/>
      <c r="N85" s="15" t="e">
        <f>#REF!</f>
        <v>#REF!</v>
      </c>
      <c r="O85" s="15" t="e">
        <f>#REF!</f>
        <v>#REF!</v>
      </c>
      <c r="P85" s="85" t="e">
        <f>#REF!</f>
        <v>#REF!</v>
      </c>
      <c r="Q85" s="93"/>
      <c r="R85" s="93"/>
    </row>
    <row r="86" spans="1:18" ht="32.25" customHeight="1" hidden="1">
      <c r="A86" s="36"/>
      <c r="B86" s="9" t="s">
        <v>175</v>
      </c>
      <c r="C86" s="3"/>
      <c r="D86" s="3"/>
      <c r="E86" s="3" t="s">
        <v>129</v>
      </c>
      <c r="F86" s="3">
        <v>220</v>
      </c>
      <c r="G86" s="15">
        <v>1504.226</v>
      </c>
      <c r="H86" s="15"/>
      <c r="I86" s="15">
        <v>-50</v>
      </c>
      <c r="J86" s="15"/>
      <c r="K86" s="5" t="s">
        <v>42</v>
      </c>
      <c r="L86" s="5"/>
      <c r="M86" s="5"/>
      <c r="N86" s="15" t="e">
        <f>#REF!</f>
        <v>#REF!</v>
      </c>
      <c r="O86" s="15" t="e">
        <f>#REF!</f>
        <v>#REF!</v>
      </c>
      <c r="P86" s="85" t="e">
        <f>#REF!</f>
        <v>#REF!</v>
      </c>
      <c r="Q86" s="93"/>
      <c r="R86" s="93"/>
    </row>
    <row r="87" spans="1:18" ht="24" customHeight="1" hidden="1">
      <c r="A87" s="36"/>
      <c r="B87" s="9" t="s">
        <v>176</v>
      </c>
      <c r="C87" s="3"/>
      <c r="D87" s="3"/>
      <c r="E87" s="3" t="s">
        <v>129</v>
      </c>
      <c r="F87" s="3">
        <v>221</v>
      </c>
      <c r="G87" s="15">
        <v>2124.3</v>
      </c>
      <c r="H87" s="15"/>
      <c r="I87" s="15"/>
      <c r="J87" s="15"/>
      <c r="K87" s="5" t="s">
        <v>42</v>
      </c>
      <c r="L87" s="5"/>
      <c r="M87" s="5"/>
      <c r="N87" s="15" t="e">
        <f>#REF!</f>
        <v>#REF!</v>
      </c>
      <c r="O87" s="15" t="e">
        <f>#REF!</f>
        <v>#REF!</v>
      </c>
      <c r="P87" s="85" t="e">
        <f>#REF!</f>
        <v>#REF!</v>
      </c>
      <c r="Q87" s="93"/>
      <c r="R87" s="93"/>
    </row>
    <row r="88" spans="1:18" ht="28.5" customHeight="1" hidden="1">
      <c r="A88" s="36"/>
      <c r="B88" s="9" t="s">
        <v>177</v>
      </c>
      <c r="C88" s="3"/>
      <c r="D88" s="3"/>
      <c r="E88" s="3" t="s">
        <v>129</v>
      </c>
      <c r="F88" s="3">
        <v>239</v>
      </c>
      <c r="G88" s="15">
        <v>43937</v>
      </c>
      <c r="H88" s="15"/>
      <c r="I88" s="15"/>
      <c r="J88" s="15"/>
      <c r="K88" s="5" t="s">
        <v>42</v>
      </c>
      <c r="L88" s="5"/>
      <c r="M88" s="5"/>
      <c r="N88" s="15" t="e">
        <f>#REF!</f>
        <v>#REF!</v>
      </c>
      <c r="O88" s="15" t="e">
        <f>#REF!</f>
        <v>#REF!</v>
      </c>
      <c r="P88" s="85" t="e">
        <f>#REF!</f>
        <v>#REF!</v>
      </c>
      <c r="Q88" s="93"/>
      <c r="R88" s="93"/>
    </row>
    <row r="89" spans="1:18" ht="24" customHeight="1" hidden="1">
      <c r="A89" s="36"/>
      <c r="B89" s="9" t="s">
        <v>178</v>
      </c>
      <c r="C89" s="3"/>
      <c r="D89" s="3"/>
      <c r="E89" s="3" t="s">
        <v>129</v>
      </c>
      <c r="F89" s="3">
        <v>240</v>
      </c>
      <c r="G89" s="15">
        <v>2821.3</v>
      </c>
      <c r="H89" s="15"/>
      <c r="I89" s="15"/>
      <c r="J89" s="15"/>
      <c r="K89" s="5" t="s">
        <v>42</v>
      </c>
      <c r="L89" s="5"/>
      <c r="M89" s="5"/>
      <c r="N89" s="15" t="e">
        <f>#REF!</f>
        <v>#REF!</v>
      </c>
      <c r="O89" s="15" t="e">
        <f>#REF!</f>
        <v>#REF!</v>
      </c>
      <c r="P89" s="85" t="e">
        <f>#REF!</f>
        <v>#REF!</v>
      </c>
      <c r="Q89" s="93"/>
      <c r="R89" s="93"/>
    </row>
    <row r="90" spans="1:18" ht="51" customHeight="1" hidden="1">
      <c r="A90" s="36"/>
      <c r="B90" s="9" t="s">
        <v>179</v>
      </c>
      <c r="C90" s="3"/>
      <c r="D90" s="3"/>
      <c r="E90" s="3" t="s">
        <v>129</v>
      </c>
      <c r="F90" s="3">
        <v>253</v>
      </c>
      <c r="G90" s="15">
        <v>30077.74801</v>
      </c>
      <c r="H90" s="15"/>
      <c r="I90" s="15">
        <f>-1215.2+50</f>
        <v>-1165.2</v>
      </c>
      <c r="J90" s="15"/>
      <c r="K90" s="5" t="s">
        <v>42</v>
      </c>
      <c r="L90" s="5"/>
      <c r="M90" s="5"/>
      <c r="N90" s="15" t="e">
        <f>#REF!</f>
        <v>#REF!</v>
      </c>
      <c r="O90" s="15" t="e">
        <f>#REF!</f>
        <v>#REF!</v>
      </c>
      <c r="P90" s="85" t="e">
        <f>#REF!</f>
        <v>#REF!</v>
      </c>
      <c r="Q90" s="93"/>
      <c r="R90" s="93"/>
    </row>
    <row r="91" spans="1:18" ht="53.25" customHeight="1" hidden="1">
      <c r="A91" s="36"/>
      <c r="B91" s="9" t="s">
        <v>180</v>
      </c>
      <c r="C91" s="3"/>
      <c r="D91" s="3"/>
      <c r="E91" s="3" t="s">
        <v>129</v>
      </c>
      <c r="F91" s="3">
        <v>472</v>
      </c>
      <c r="G91" s="15">
        <v>1048.992</v>
      </c>
      <c r="H91" s="15"/>
      <c r="I91" s="15">
        <v>1215.2</v>
      </c>
      <c r="J91" s="15"/>
      <c r="K91" s="5" t="s">
        <v>42</v>
      </c>
      <c r="L91" s="5"/>
      <c r="M91" s="5"/>
      <c r="N91" s="15" t="e">
        <f>#REF!</f>
        <v>#REF!</v>
      </c>
      <c r="O91" s="15" t="e">
        <f>#REF!</f>
        <v>#REF!</v>
      </c>
      <c r="P91" s="85" t="e">
        <f>#REF!</f>
        <v>#REF!</v>
      </c>
      <c r="Q91" s="93"/>
      <c r="R91" s="93"/>
    </row>
    <row r="92" spans="1:18" ht="33" customHeight="1" hidden="1">
      <c r="A92" s="36"/>
      <c r="B92" s="9" t="s">
        <v>182</v>
      </c>
      <c r="C92" s="3"/>
      <c r="D92" s="3"/>
      <c r="E92" s="3"/>
      <c r="F92" s="3"/>
      <c r="G92" s="15" t="e">
        <f>G93+G94+G95+G96+#REF!+G98</f>
        <v>#REF!</v>
      </c>
      <c r="H92" s="15" t="e">
        <f>H93+H94+H95+H96+#REF!+H98</f>
        <v>#REF!</v>
      </c>
      <c r="I92" s="15" t="e">
        <f>I93+I94+I95+I96+#REF!+I98</f>
        <v>#REF!</v>
      </c>
      <c r="J92" s="15" t="e">
        <f>J93+J94+J95+J96+#REF!+J98</f>
        <v>#REF!</v>
      </c>
      <c r="K92" s="5" t="s">
        <v>42</v>
      </c>
      <c r="L92" s="5"/>
      <c r="M92" s="5"/>
      <c r="N92" s="15" t="e">
        <f>#REF!</f>
        <v>#REF!</v>
      </c>
      <c r="O92" s="15" t="e">
        <f>#REF!</f>
        <v>#REF!</v>
      </c>
      <c r="P92" s="85" t="e">
        <f>#REF!</f>
        <v>#REF!</v>
      </c>
      <c r="Q92" s="93"/>
      <c r="R92" s="93"/>
    </row>
    <row r="93" spans="1:18" ht="33" customHeight="1" hidden="1">
      <c r="A93" s="36"/>
      <c r="B93" s="9" t="s">
        <v>175</v>
      </c>
      <c r="C93" s="3"/>
      <c r="D93" s="3"/>
      <c r="E93" s="3" t="s">
        <v>129</v>
      </c>
      <c r="F93" s="3">
        <v>220</v>
      </c>
      <c r="G93" s="15">
        <v>128.5</v>
      </c>
      <c r="H93" s="15"/>
      <c r="I93" s="15"/>
      <c r="J93" s="15"/>
      <c r="K93" s="5" t="s">
        <v>42</v>
      </c>
      <c r="L93" s="5"/>
      <c r="M93" s="5"/>
      <c r="N93" s="15" t="e">
        <f>#REF!</f>
        <v>#REF!</v>
      </c>
      <c r="O93" s="15" t="e">
        <f>#REF!</f>
        <v>#REF!</v>
      </c>
      <c r="P93" s="85" t="e">
        <f>#REF!</f>
        <v>#REF!</v>
      </c>
      <c r="Q93" s="93"/>
      <c r="R93" s="93"/>
    </row>
    <row r="94" spans="1:18" ht="33" customHeight="1" hidden="1">
      <c r="A94" s="36"/>
      <c r="B94" s="9" t="s">
        <v>176</v>
      </c>
      <c r="C94" s="3"/>
      <c r="D94" s="3"/>
      <c r="E94" s="3" t="s">
        <v>129</v>
      </c>
      <c r="F94" s="3">
        <v>221</v>
      </c>
      <c r="G94" s="15">
        <v>87.8</v>
      </c>
      <c r="H94" s="15"/>
      <c r="I94" s="15"/>
      <c r="J94" s="15"/>
      <c r="K94" s="5" t="s">
        <v>42</v>
      </c>
      <c r="L94" s="5"/>
      <c r="M94" s="5"/>
      <c r="N94" s="15" t="e">
        <f>#REF!</f>
        <v>#REF!</v>
      </c>
      <c r="O94" s="15" t="e">
        <f>#REF!</f>
        <v>#REF!</v>
      </c>
      <c r="P94" s="85" t="e">
        <f>#REF!</f>
        <v>#REF!</v>
      </c>
      <c r="Q94" s="93"/>
      <c r="R94" s="93"/>
    </row>
    <row r="95" spans="1:18" ht="27.75" customHeight="1" hidden="1">
      <c r="A95" s="36"/>
      <c r="B95" s="9" t="s">
        <v>177</v>
      </c>
      <c r="C95" s="3"/>
      <c r="D95" s="3"/>
      <c r="E95" s="3" t="s">
        <v>129</v>
      </c>
      <c r="F95" s="3">
        <v>239</v>
      </c>
      <c r="G95" s="15">
        <v>1776.3</v>
      </c>
      <c r="H95" s="15"/>
      <c r="I95" s="15"/>
      <c r="J95" s="15"/>
      <c r="K95" s="5" t="s">
        <v>42</v>
      </c>
      <c r="L95" s="5"/>
      <c r="M95" s="5"/>
      <c r="N95" s="15" t="e">
        <f>#REF!</f>
        <v>#REF!</v>
      </c>
      <c r="O95" s="15" t="e">
        <f>#REF!</f>
        <v>#REF!</v>
      </c>
      <c r="P95" s="85" t="e">
        <f>#REF!</f>
        <v>#REF!</v>
      </c>
      <c r="Q95" s="93"/>
      <c r="R95" s="93"/>
    </row>
    <row r="96" spans="1:18" ht="33" customHeight="1" hidden="1">
      <c r="A96" s="36"/>
      <c r="B96" s="9" t="s">
        <v>178</v>
      </c>
      <c r="C96" s="3"/>
      <c r="D96" s="3"/>
      <c r="E96" s="3" t="s">
        <v>129</v>
      </c>
      <c r="F96" s="3">
        <v>240</v>
      </c>
      <c r="G96" s="15">
        <v>977.92</v>
      </c>
      <c r="H96" s="15"/>
      <c r="I96" s="15"/>
      <c r="J96" s="15"/>
      <c r="K96" s="5" t="s">
        <v>42</v>
      </c>
      <c r="L96" s="5"/>
      <c r="M96" s="5"/>
      <c r="N96" s="15" t="e">
        <f>#REF!</f>
        <v>#REF!</v>
      </c>
      <c r="O96" s="15" t="e">
        <f>#REF!</f>
        <v>#REF!</v>
      </c>
      <c r="P96" s="85" t="e">
        <f>#REF!</f>
        <v>#REF!</v>
      </c>
      <c r="Q96" s="93"/>
      <c r="R96" s="93"/>
    </row>
    <row r="97" spans="1:18" ht="28.5" customHeight="1">
      <c r="A97" s="36">
        <v>41</v>
      </c>
      <c r="B97" s="9" t="s">
        <v>175</v>
      </c>
      <c r="C97" s="3"/>
      <c r="D97" s="3"/>
      <c r="E97" s="3"/>
      <c r="F97" s="3"/>
      <c r="G97" s="15"/>
      <c r="H97" s="15"/>
      <c r="I97" s="15"/>
      <c r="J97" s="15"/>
      <c r="K97" s="5" t="s">
        <v>42</v>
      </c>
      <c r="L97" s="5" t="s">
        <v>312</v>
      </c>
      <c r="M97" s="5" t="s">
        <v>313</v>
      </c>
      <c r="N97" s="15">
        <f>1841+710.433-430.1</f>
        <v>2121.333</v>
      </c>
      <c r="O97" s="15"/>
      <c r="P97" s="85">
        <f>1841+710.433-430.1</f>
        <v>2121.333</v>
      </c>
      <c r="Q97" s="93">
        <f>85.8058+998.27989</f>
        <v>1084.08569</v>
      </c>
      <c r="R97" s="89">
        <f aca="true" t="shared" si="5" ref="R97:R102">P97-Q97</f>
        <v>1037.24731</v>
      </c>
    </row>
    <row r="98" spans="1:18" ht="18" customHeight="1">
      <c r="A98" s="36">
        <v>42</v>
      </c>
      <c r="B98" s="9" t="s">
        <v>176</v>
      </c>
      <c r="C98" s="3"/>
      <c r="D98" s="3"/>
      <c r="E98" s="3" t="s">
        <v>129</v>
      </c>
      <c r="F98" s="3">
        <v>472</v>
      </c>
      <c r="G98" s="15">
        <v>15.3</v>
      </c>
      <c r="H98" s="15"/>
      <c r="I98" s="15">
        <v>115</v>
      </c>
      <c r="J98" s="15"/>
      <c r="K98" s="5" t="s">
        <v>42</v>
      </c>
      <c r="L98" s="5" t="s">
        <v>312</v>
      </c>
      <c r="M98" s="5" t="s">
        <v>314</v>
      </c>
      <c r="N98" s="15">
        <f>3321.3-999.7</f>
        <v>2321.6</v>
      </c>
      <c r="O98" s="15"/>
      <c r="P98" s="85">
        <f>3321.3-999.7</f>
        <v>2321.6</v>
      </c>
      <c r="Q98" s="93">
        <f>76.3026+1990.527</f>
        <v>2066.8296</v>
      </c>
      <c r="R98" s="89">
        <f t="shared" si="5"/>
        <v>254.7704</v>
      </c>
    </row>
    <row r="99" spans="1:18" ht="47.25">
      <c r="A99" s="36">
        <v>43</v>
      </c>
      <c r="B99" s="47" t="s">
        <v>315</v>
      </c>
      <c r="C99" s="10"/>
      <c r="D99" s="10"/>
      <c r="E99" s="3" t="s">
        <v>129</v>
      </c>
      <c r="F99" s="3" t="s">
        <v>109</v>
      </c>
      <c r="G99" s="15">
        <v>6335.2019</v>
      </c>
      <c r="H99" s="15"/>
      <c r="I99" s="15"/>
      <c r="J99" s="15"/>
      <c r="K99" s="5" t="s">
        <v>42</v>
      </c>
      <c r="L99" s="5" t="s">
        <v>312</v>
      </c>
      <c r="M99" s="3">
        <v>239</v>
      </c>
      <c r="N99" s="15">
        <v>55970</v>
      </c>
      <c r="O99" s="15"/>
      <c r="P99" s="85">
        <f>55970-3366</f>
        <v>52604</v>
      </c>
      <c r="Q99" s="93">
        <f>2101.43797+49779.22579</f>
        <v>51880.66376</v>
      </c>
      <c r="R99" s="89">
        <f t="shared" si="5"/>
        <v>723.33624</v>
      </c>
    </row>
    <row r="100" spans="1:18" ht="24" customHeight="1">
      <c r="A100" s="36">
        <v>44</v>
      </c>
      <c r="B100" s="9" t="s">
        <v>178</v>
      </c>
      <c r="C100" s="10"/>
      <c r="D100" s="10"/>
      <c r="E100" s="10" t="s">
        <v>129</v>
      </c>
      <c r="F100" s="10">
        <v>253</v>
      </c>
      <c r="G100" s="15">
        <v>0</v>
      </c>
      <c r="H100" s="15"/>
      <c r="I100" s="15">
        <v>12600</v>
      </c>
      <c r="J100" s="15"/>
      <c r="K100" s="5" t="s">
        <v>42</v>
      </c>
      <c r="L100" s="5" t="s">
        <v>312</v>
      </c>
      <c r="M100" s="3">
        <v>240</v>
      </c>
      <c r="N100" s="15">
        <f>6720.3+18+10.5-784.761</f>
        <v>5964.039</v>
      </c>
      <c r="O100" s="15"/>
      <c r="P100" s="86">
        <f>6720.3+18+10.5-784.761-1012-10.13001</f>
        <v>4941.90899</v>
      </c>
      <c r="Q100" s="93">
        <f>1277.84885+10.5+18+3362.57999</f>
        <v>4668.92884</v>
      </c>
      <c r="R100" s="89">
        <f t="shared" si="5"/>
        <v>272.98015</v>
      </c>
    </row>
    <row r="101" spans="1:18" ht="48" customHeight="1">
      <c r="A101" s="36">
        <v>45</v>
      </c>
      <c r="B101" s="9" t="s">
        <v>179</v>
      </c>
      <c r="C101" s="10"/>
      <c r="D101" s="10"/>
      <c r="E101" s="10"/>
      <c r="F101" s="10"/>
      <c r="G101" s="15"/>
      <c r="H101" s="15"/>
      <c r="I101" s="15"/>
      <c r="J101" s="15"/>
      <c r="K101" s="5" t="s">
        <v>42</v>
      </c>
      <c r="L101" s="5" t="s">
        <v>312</v>
      </c>
      <c r="M101" s="22">
        <v>253</v>
      </c>
      <c r="N101" s="15">
        <f>33412.5+457.38+22.72812+8.12847-217+784.761+430.1</f>
        <v>34898.59759</v>
      </c>
      <c r="O101" s="15"/>
      <c r="P101" s="85">
        <f>33412.5+457.38+22.72812+8.12847-217+784.761+430.1</f>
        <v>34898.59759</v>
      </c>
      <c r="Q101" s="93">
        <f>8.12847+3084+745.60634+25666.85099+22.728</f>
        <v>29527.3138</v>
      </c>
      <c r="R101" s="89">
        <f t="shared" si="5"/>
        <v>5371.28379</v>
      </c>
    </row>
    <row r="102" spans="1:18" ht="45.75" customHeight="1">
      <c r="A102" s="36">
        <v>46</v>
      </c>
      <c r="B102" s="9" t="s">
        <v>180</v>
      </c>
      <c r="C102" s="10"/>
      <c r="D102" s="10"/>
      <c r="E102" s="10"/>
      <c r="F102" s="10"/>
      <c r="G102" s="15"/>
      <c r="H102" s="15"/>
      <c r="I102" s="15"/>
      <c r="J102" s="15"/>
      <c r="K102" s="5" t="s">
        <v>42</v>
      </c>
      <c r="L102" s="5" t="s">
        <v>312</v>
      </c>
      <c r="M102" s="22">
        <v>472</v>
      </c>
      <c r="N102" s="15">
        <f>1482.4+999.7+217</f>
        <v>2699.1</v>
      </c>
      <c r="O102" s="15"/>
      <c r="P102" s="86">
        <f>1482.4+999.7+217+10.13001</f>
        <v>2709.23001</v>
      </c>
      <c r="Q102" s="93">
        <f>2404.90318+179.79591</f>
        <v>2584.69909</v>
      </c>
      <c r="R102" s="89">
        <f t="shared" si="5"/>
        <v>124.53092</v>
      </c>
    </row>
    <row r="103" spans="1:18" ht="47.25">
      <c r="A103" s="36">
        <v>47</v>
      </c>
      <c r="B103" s="9" t="s">
        <v>160</v>
      </c>
      <c r="C103" s="10" t="e">
        <f>#REF!+#REF!+C104</f>
        <v>#REF!</v>
      </c>
      <c r="D103" s="10" t="e">
        <f>#REF!+#REF!+D104</f>
        <v>#REF!</v>
      </c>
      <c r="E103" s="10"/>
      <c r="F103" s="10"/>
      <c r="G103" s="17">
        <f>G104</f>
        <v>3289</v>
      </c>
      <c r="H103" s="17">
        <f>H104</f>
        <v>0</v>
      </c>
      <c r="I103" s="25">
        <f>I104</f>
        <v>300</v>
      </c>
      <c r="J103" s="17">
        <f>J104</f>
        <v>0</v>
      </c>
      <c r="K103" s="5" t="s">
        <v>44</v>
      </c>
      <c r="L103" s="5"/>
      <c r="M103" s="5"/>
      <c r="N103" s="15">
        <f>N114+N116+N112</f>
        <v>14407.6</v>
      </c>
      <c r="O103" s="15">
        <f>O114+O116+O112</f>
        <v>0</v>
      </c>
      <c r="P103" s="85">
        <f>P114+P116+P112</f>
        <v>14253.3</v>
      </c>
      <c r="Q103" s="85">
        <f>Q114+Q116+Q112</f>
        <v>13546.22767</v>
      </c>
      <c r="R103" s="85">
        <f>R114+R116+R112</f>
        <v>707.07233</v>
      </c>
    </row>
    <row r="104" spans="1:18" ht="31.5" hidden="1">
      <c r="A104" s="36"/>
      <c r="B104" s="9" t="s">
        <v>35</v>
      </c>
      <c r="C104" s="3">
        <v>4817</v>
      </c>
      <c r="D104" s="3">
        <v>5504</v>
      </c>
      <c r="E104" s="11"/>
      <c r="F104" s="11"/>
      <c r="G104" s="17">
        <f>G105+G106</f>
        <v>3289</v>
      </c>
      <c r="H104" s="17">
        <f>H105+H106</f>
        <v>0</v>
      </c>
      <c r="I104" s="25">
        <f>I105+I106</f>
        <v>300</v>
      </c>
      <c r="J104" s="17">
        <f>J105+J106</f>
        <v>0</v>
      </c>
      <c r="K104" s="5" t="s">
        <v>44</v>
      </c>
      <c r="L104" s="5"/>
      <c r="M104" s="5"/>
      <c r="N104" s="15" t="e">
        <f>#REF!</f>
        <v>#REF!</v>
      </c>
      <c r="O104" s="15" t="e">
        <f>#REF!</f>
        <v>#REF!</v>
      </c>
      <c r="P104" s="85" t="e">
        <f>#REF!</f>
        <v>#REF!</v>
      </c>
      <c r="Q104" s="85" t="e">
        <f>#REF!</f>
        <v>#REF!</v>
      </c>
      <c r="R104" s="85" t="e">
        <f>#REF!</f>
        <v>#REF!</v>
      </c>
    </row>
    <row r="105" spans="1:18" ht="47.25" hidden="1">
      <c r="A105" s="36"/>
      <c r="B105" s="34" t="s">
        <v>171</v>
      </c>
      <c r="C105" s="3"/>
      <c r="D105" s="3"/>
      <c r="E105" s="11" t="s">
        <v>130</v>
      </c>
      <c r="F105" s="11" t="s">
        <v>13</v>
      </c>
      <c r="G105" s="17">
        <v>2332</v>
      </c>
      <c r="H105" s="3"/>
      <c r="I105" s="14">
        <v>50</v>
      </c>
      <c r="J105" s="3"/>
      <c r="K105" s="5" t="s">
        <v>44</v>
      </c>
      <c r="L105" s="5"/>
      <c r="M105" s="5"/>
      <c r="N105" s="15" t="e">
        <f>#REF!</f>
        <v>#REF!</v>
      </c>
      <c r="O105" s="15" t="e">
        <f>#REF!</f>
        <v>#REF!</v>
      </c>
      <c r="P105" s="85" t="e">
        <f>#REF!</f>
        <v>#REF!</v>
      </c>
      <c r="Q105" s="85" t="e">
        <f>#REF!</f>
        <v>#REF!</v>
      </c>
      <c r="R105" s="85" t="e">
        <f>#REF!</f>
        <v>#REF!</v>
      </c>
    </row>
    <row r="106" spans="1:18" ht="50.25" customHeight="1" hidden="1">
      <c r="A106" s="36"/>
      <c r="B106" s="34" t="s">
        <v>170</v>
      </c>
      <c r="C106" s="3"/>
      <c r="D106" s="3"/>
      <c r="E106" s="11" t="s">
        <v>131</v>
      </c>
      <c r="F106" s="11" t="s">
        <v>14</v>
      </c>
      <c r="G106" s="17">
        <v>957</v>
      </c>
      <c r="H106" s="3"/>
      <c r="I106" s="25">
        <f>300-50</f>
        <v>250</v>
      </c>
      <c r="J106" s="3"/>
      <c r="K106" s="5" t="s">
        <v>44</v>
      </c>
      <c r="L106" s="5"/>
      <c r="M106" s="5"/>
      <c r="N106" s="15" t="e">
        <f>#REF!</f>
        <v>#REF!</v>
      </c>
      <c r="O106" s="15" t="e">
        <f>#REF!</f>
        <v>#REF!</v>
      </c>
      <c r="P106" s="85" t="e">
        <f>#REF!</f>
        <v>#REF!</v>
      </c>
      <c r="Q106" s="85" t="e">
        <f>#REF!</f>
        <v>#REF!</v>
      </c>
      <c r="R106" s="85" t="e">
        <f>#REF!</f>
        <v>#REF!</v>
      </c>
    </row>
    <row r="107" spans="1:18" ht="54" customHeight="1" hidden="1">
      <c r="A107" s="36"/>
      <c r="B107" s="9" t="s">
        <v>219</v>
      </c>
      <c r="C107" s="3">
        <v>27979</v>
      </c>
      <c r="D107" s="3">
        <v>32014</v>
      </c>
      <c r="E107" s="3" t="s">
        <v>216</v>
      </c>
      <c r="F107" s="11" t="s">
        <v>109</v>
      </c>
      <c r="G107" s="15">
        <v>6381.9408</v>
      </c>
      <c r="H107" s="15"/>
      <c r="I107" s="15"/>
      <c r="J107" s="15"/>
      <c r="K107" s="5" t="s">
        <v>45</v>
      </c>
      <c r="L107" s="5"/>
      <c r="M107" s="5"/>
      <c r="N107" s="15" t="e">
        <f>#REF!</f>
        <v>#REF!</v>
      </c>
      <c r="O107" s="15" t="e">
        <f>#REF!</f>
        <v>#REF!</v>
      </c>
      <c r="P107" s="85" t="e">
        <f>#REF!</f>
        <v>#REF!</v>
      </c>
      <c r="Q107" s="85" t="e">
        <f>#REF!</f>
        <v>#REF!</v>
      </c>
      <c r="R107" s="85" t="e">
        <f>#REF!</f>
        <v>#REF!</v>
      </c>
    </row>
    <row r="108" spans="1:18" ht="27" customHeight="1" hidden="1">
      <c r="A108" s="36"/>
      <c r="B108" s="9" t="s">
        <v>235</v>
      </c>
      <c r="C108" s="3"/>
      <c r="D108" s="3"/>
      <c r="E108" s="3"/>
      <c r="F108" s="11"/>
      <c r="G108" s="15">
        <f>G109+G110+G111+G114+G116+G117</f>
        <v>28013.2592</v>
      </c>
      <c r="H108" s="15">
        <f>H109+H110+H111+H114+H116+H117</f>
        <v>0</v>
      </c>
      <c r="I108" s="15">
        <f>I109+I110+I111+I114+I116+I117</f>
        <v>0</v>
      </c>
      <c r="J108" s="15">
        <f>J109+J110+J111+J114+J116+J117</f>
        <v>0</v>
      </c>
      <c r="K108" s="5" t="s">
        <v>45</v>
      </c>
      <c r="L108" s="5"/>
      <c r="M108" s="5"/>
      <c r="N108" s="15" t="e">
        <f>#REF!</f>
        <v>#REF!</v>
      </c>
      <c r="O108" s="15" t="e">
        <f>#REF!</f>
        <v>#REF!</v>
      </c>
      <c r="P108" s="85" t="e">
        <f>#REF!</f>
        <v>#REF!</v>
      </c>
      <c r="Q108" s="85" t="e">
        <f>#REF!</f>
        <v>#REF!</v>
      </c>
      <c r="R108" s="85" t="e">
        <f>#REF!</f>
        <v>#REF!</v>
      </c>
    </row>
    <row r="109" spans="1:18" ht="27" customHeight="1" hidden="1">
      <c r="A109" s="36"/>
      <c r="B109" s="9" t="s">
        <v>175</v>
      </c>
      <c r="C109" s="3"/>
      <c r="D109" s="3"/>
      <c r="E109" s="3" t="s">
        <v>216</v>
      </c>
      <c r="F109" s="3">
        <v>220</v>
      </c>
      <c r="G109" s="15">
        <v>1647.469</v>
      </c>
      <c r="H109" s="15"/>
      <c r="I109" s="15">
        <v>-80</v>
      </c>
      <c r="J109" s="15"/>
      <c r="K109" s="5" t="s">
        <v>45</v>
      </c>
      <c r="L109" s="5"/>
      <c r="M109" s="5"/>
      <c r="N109" s="15" t="e">
        <f>#REF!</f>
        <v>#REF!</v>
      </c>
      <c r="O109" s="15" t="e">
        <f>#REF!</f>
        <v>#REF!</v>
      </c>
      <c r="P109" s="85" t="e">
        <f>#REF!</f>
        <v>#REF!</v>
      </c>
      <c r="Q109" s="85" t="e">
        <f>#REF!</f>
        <v>#REF!</v>
      </c>
      <c r="R109" s="85" t="e">
        <f>#REF!</f>
        <v>#REF!</v>
      </c>
    </row>
    <row r="110" spans="1:18" ht="33" customHeight="1" hidden="1">
      <c r="A110" s="36"/>
      <c r="B110" s="9" t="s">
        <v>176</v>
      </c>
      <c r="C110" s="3"/>
      <c r="D110" s="3"/>
      <c r="E110" s="3" t="s">
        <v>216</v>
      </c>
      <c r="F110" s="3">
        <v>221</v>
      </c>
      <c r="G110" s="15">
        <v>828.835</v>
      </c>
      <c r="H110" s="15"/>
      <c r="I110" s="15">
        <v>-828.835</v>
      </c>
      <c r="J110" s="15"/>
      <c r="K110" s="5" t="s">
        <v>45</v>
      </c>
      <c r="L110" s="5"/>
      <c r="M110" s="5"/>
      <c r="N110" s="15" t="e">
        <f>#REF!</f>
        <v>#REF!</v>
      </c>
      <c r="O110" s="15" t="e">
        <f>#REF!</f>
        <v>#REF!</v>
      </c>
      <c r="P110" s="85" t="e">
        <f>#REF!</f>
        <v>#REF!</v>
      </c>
      <c r="Q110" s="85" t="e">
        <f>#REF!</f>
        <v>#REF!</v>
      </c>
      <c r="R110" s="85" t="e">
        <f>#REF!</f>
        <v>#REF!</v>
      </c>
    </row>
    <row r="111" spans="1:18" ht="45" customHeight="1" hidden="1">
      <c r="A111" s="36"/>
      <c r="B111" s="9" t="s">
        <v>177</v>
      </c>
      <c r="C111" s="3"/>
      <c r="D111" s="3"/>
      <c r="E111" s="3" t="s">
        <v>216</v>
      </c>
      <c r="F111" s="3">
        <v>239</v>
      </c>
      <c r="G111" s="15">
        <v>18690.55566</v>
      </c>
      <c r="H111" s="15"/>
      <c r="I111" s="15">
        <f>1447.65414+321.122</f>
        <v>1768.77614</v>
      </c>
      <c r="J111" s="15"/>
      <c r="K111" s="5" t="s">
        <v>45</v>
      </c>
      <c r="L111" s="5"/>
      <c r="M111" s="5"/>
      <c r="N111" s="15" t="e">
        <f>#REF!</f>
        <v>#REF!</v>
      </c>
      <c r="O111" s="15" t="e">
        <f>#REF!</f>
        <v>#REF!</v>
      </c>
      <c r="P111" s="85" t="e">
        <f>#REF!</f>
        <v>#REF!</v>
      </c>
      <c r="Q111" s="85" t="e">
        <f>#REF!</f>
        <v>#REF!</v>
      </c>
      <c r="R111" s="85" t="e">
        <f>#REF!</f>
        <v>#REF!</v>
      </c>
    </row>
    <row r="112" spans="1:18" ht="33.75" customHeight="1">
      <c r="A112" s="36">
        <v>48</v>
      </c>
      <c r="B112" s="9" t="s">
        <v>299</v>
      </c>
      <c r="C112" s="3"/>
      <c r="D112" s="3"/>
      <c r="E112" s="3"/>
      <c r="F112" s="3"/>
      <c r="G112" s="15"/>
      <c r="H112" s="15"/>
      <c r="I112" s="15"/>
      <c r="J112" s="15"/>
      <c r="K112" s="5" t="s">
        <v>44</v>
      </c>
      <c r="L112" s="5" t="s">
        <v>300</v>
      </c>
      <c r="M112" s="5"/>
      <c r="N112" s="15">
        <f>N113</f>
        <v>10966.8</v>
      </c>
      <c r="O112" s="15">
        <f>O113</f>
        <v>0</v>
      </c>
      <c r="P112" s="85">
        <f>P113</f>
        <v>10217.5</v>
      </c>
      <c r="Q112" s="85">
        <f>Q113</f>
        <v>9842.97708</v>
      </c>
      <c r="R112" s="85">
        <f>R113</f>
        <v>374.52292</v>
      </c>
    </row>
    <row r="113" spans="1:18" ht="27.75" customHeight="1">
      <c r="A113" s="36">
        <v>49</v>
      </c>
      <c r="B113" s="9" t="s">
        <v>301</v>
      </c>
      <c r="C113" s="3"/>
      <c r="D113" s="3"/>
      <c r="E113" s="3"/>
      <c r="F113" s="3"/>
      <c r="G113" s="15"/>
      <c r="H113" s="15"/>
      <c r="I113" s="15"/>
      <c r="J113" s="15"/>
      <c r="K113" s="5" t="s">
        <v>44</v>
      </c>
      <c r="L113" s="5" t="s">
        <v>300</v>
      </c>
      <c r="M113" s="5" t="s">
        <v>168</v>
      </c>
      <c r="N113" s="15">
        <f>11032.2-65.4</f>
        <v>10966.8</v>
      </c>
      <c r="O113" s="15"/>
      <c r="P113" s="85">
        <f>11032.2-65.4-590-159.3</f>
        <v>10217.5</v>
      </c>
      <c r="Q113" s="93">
        <f>8031.28756+1811.68952</f>
        <v>9842.97708</v>
      </c>
      <c r="R113" s="89">
        <f>P113-Q113</f>
        <v>374.52292</v>
      </c>
    </row>
    <row r="114" spans="1:18" ht="47.25">
      <c r="A114" s="36">
        <v>50</v>
      </c>
      <c r="B114" s="34" t="s">
        <v>171</v>
      </c>
      <c r="C114" s="3"/>
      <c r="D114" s="3"/>
      <c r="E114" s="3" t="s">
        <v>216</v>
      </c>
      <c r="F114" s="3">
        <v>240</v>
      </c>
      <c r="G114" s="15">
        <v>776.21014</v>
      </c>
      <c r="H114" s="15"/>
      <c r="I114" s="15"/>
      <c r="J114" s="15"/>
      <c r="K114" s="5" t="s">
        <v>44</v>
      </c>
      <c r="L114" s="5" t="s">
        <v>316</v>
      </c>
      <c r="M114" s="5"/>
      <c r="N114" s="15">
        <f>N115</f>
        <v>2405.2</v>
      </c>
      <c r="O114" s="15">
        <f>O115</f>
        <v>0</v>
      </c>
      <c r="P114" s="85">
        <f>P115</f>
        <v>3000.2</v>
      </c>
      <c r="Q114" s="85">
        <f>Q115</f>
        <v>2742.736</v>
      </c>
      <c r="R114" s="85">
        <f>R115</f>
        <v>257.464</v>
      </c>
    </row>
    <row r="115" spans="1:18" ht="47.25">
      <c r="A115" s="36">
        <v>51</v>
      </c>
      <c r="B115" s="47" t="s">
        <v>317</v>
      </c>
      <c r="C115" s="3"/>
      <c r="D115" s="3"/>
      <c r="E115" s="3"/>
      <c r="F115" s="3"/>
      <c r="G115" s="15"/>
      <c r="H115" s="15"/>
      <c r="I115" s="15"/>
      <c r="J115" s="15"/>
      <c r="K115" s="5" t="s">
        <v>44</v>
      </c>
      <c r="L115" s="5" t="s">
        <v>316</v>
      </c>
      <c r="M115" s="5" t="s">
        <v>13</v>
      </c>
      <c r="N115" s="15">
        <f>2113+117.2+175</f>
        <v>2405.2</v>
      </c>
      <c r="O115" s="15"/>
      <c r="P115" s="85">
        <f>2113+117.2+175+595</f>
        <v>3000.2</v>
      </c>
      <c r="Q115" s="93">
        <f>542.636+2044.35+155.75</f>
        <v>2742.736</v>
      </c>
      <c r="R115" s="89">
        <f>P115-Q115</f>
        <v>257.464</v>
      </c>
    </row>
    <row r="116" spans="1:18" ht="29.25" customHeight="1">
      <c r="A116" s="36">
        <v>52</v>
      </c>
      <c r="B116" s="48" t="s">
        <v>170</v>
      </c>
      <c r="C116" s="3"/>
      <c r="D116" s="3"/>
      <c r="E116" s="3" t="s">
        <v>216</v>
      </c>
      <c r="F116" s="3">
        <v>253</v>
      </c>
      <c r="G116" s="15">
        <v>5582.60846</v>
      </c>
      <c r="H116" s="15"/>
      <c r="I116" s="15">
        <f>(-51.2382)+(-321.122)</f>
        <v>-372.3602</v>
      </c>
      <c r="J116" s="15"/>
      <c r="K116" s="5" t="s">
        <v>44</v>
      </c>
      <c r="L116" s="5" t="s">
        <v>318</v>
      </c>
      <c r="M116" s="5"/>
      <c r="N116" s="15">
        <f>N117</f>
        <v>1035.6</v>
      </c>
      <c r="O116" s="15">
        <f>O117</f>
        <v>0</v>
      </c>
      <c r="P116" s="85">
        <f>P117</f>
        <v>1035.6</v>
      </c>
      <c r="Q116" s="85">
        <f>Q117</f>
        <v>960.51459</v>
      </c>
      <c r="R116" s="85">
        <f>R117</f>
        <v>75.08541</v>
      </c>
    </row>
    <row r="117" spans="1:18" ht="33" customHeight="1">
      <c r="A117" s="36">
        <v>53</v>
      </c>
      <c r="B117" s="47" t="s">
        <v>319</v>
      </c>
      <c r="C117" s="3"/>
      <c r="D117" s="3"/>
      <c r="E117" s="3" t="s">
        <v>216</v>
      </c>
      <c r="F117" s="3">
        <v>472</v>
      </c>
      <c r="G117" s="15">
        <v>487.58094</v>
      </c>
      <c r="H117" s="15"/>
      <c r="I117" s="15">
        <v>-487.58094</v>
      </c>
      <c r="J117" s="15"/>
      <c r="K117" s="5" t="s">
        <v>44</v>
      </c>
      <c r="L117" s="5" t="s">
        <v>318</v>
      </c>
      <c r="M117" s="5" t="s">
        <v>14</v>
      </c>
      <c r="N117" s="15">
        <f>1087.4-51.8</f>
        <v>1035.6</v>
      </c>
      <c r="O117" s="15"/>
      <c r="P117" s="85">
        <f>1087.4-51.8</f>
        <v>1035.6</v>
      </c>
      <c r="Q117" s="93">
        <v>960.51459</v>
      </c>
      <c r="R117" s="89">
        <f>P117-Q117</f>
        <v>75.08541</v>
      </c>
    </row>
    <row r="118" spans="1:18" ht="27.75" customHeight="1">
      <c r="A118" s="66">
        <v>54</v>
      </c>
      <c r="B118" s="26" t="s">
        <v>47</v>
      </c>
      <c r="C118" s="27" t="e">
        <f>C122+#REF!+C128+C137</f>
        <v>#REF!</v>
      </c>
      <c r="D118" s="27" t="e">
        <f>D122+#REF!+D128+D137</f>
        <v>#REF!</v>
      </c>
      <c r="E118" s="27"/>
      <c r="F118" s="27"/>
      <c r="G118" s="28" t="e">
        <f>#REF!+G122+G128+G133+G137</f>
        <v>#REF!</v>
      </c>
      <c r="H118" s="28" t="e">
        <f>#REF!+H122+H128+H133+H137</f>
        <v>#REF!</v>
      </c>
      <c r="I118" s="28" t="e">
        <f>#REF!+I122+I128+I133+I137</f>
        <v>#REF!</v>
      </c>
      <c r="J118" s="28" t="e">
        <f>#REF!+J122+J128+J133+J137</f>
        <v>#REF!</v>
      </c>
      <c r="K118" s="29" t="s">
        <v>46</v>
      </c>
      <c r="L118" s="29"/>
      <c r="M118" s="29"/>
      <c r="N118" s="28">
        <f>N122+N128+N137</f>
        <v>183253.341</v>
      </c>
      <c r="O118" s="28">
        <f>O122+O128+O137</f>
        <v>-2691</v>
      </c>
      <c r="P118" s="84">
        <f>P122+P128+P137</f>
        <v>177245.341</v>
      </c>
      <c r="Q118" s="84">
        <f>Q122+Q128+Q137</f>
        <v>175396.15343</v>
      </c>
      <c r="R118" s="84">
        <f>R122+R128+R137</f>
        <v>1849.18757</v>
      </c>
    </row>
    <row r="119" spans="1:18" ht="0" customHeight="1" hidden="1">
      <c r="A119" s="36"/>
      <c r="B119" s="9" t="s">
        <v>84</v>
      </c>
      <c r="C119" s="3">
        <v>1411</v>
      </c>
      <c r="D119" s="3">
        <v>1670</v>
      </c>
      <c r="E119" s="11" t="s">
        <v>172</v>
      </c>
      <c r="F119" s="3">
        <v>327</v>
      </c>
      <c r="G119" s="15">
        <v>1383</v>
      </c>
      <c r="H119" s="15"/>
      <c r="I119" s="15"/>
      <c r="J119" s="15"/>
      <c r="K119" s="5" t="s">
        <v>83</v>
      </c>
      <c r="L119" s="5"/>
      <c r="M119" s="5"/>
      <c r="N119" s="15" t="e">
        <f>#REF!</f>
        <v>#REF!</v>
      </c>
      <c r="O119" s="15" t="e">
        <f>#REF!</f>
        <v>#REF!</v>
      </c>
      <c r="P119" s="85" t="e">
        <f>#REF!</f>
        <v>#REF!</v>
      </c>
      <c r="Q119" s="85" t="e">
        <f>#REF!</f>
        <v>#REF!</v>
      </c>
      <c r="R119" s="85" t="e">
        <f>#REF!</f>
        <v>#REF!</v>
      </c>
    </row>
    <row r="120" spans="1:18" ht="21" customHeight="1" hidden="1">
      <c r="A120" s="36"/>
      <c r="B120" s="9" t="s">
        <v>84</v>
      </c>
      <c r="C120" s="3">
        <v>1411</v>
      </c>
      <c r="D120" s="3">
        <v>1670</v>
      </c>
      <c r="E120" s="11" t="s">
        <v>172</v>
      </c>
      <c r="F120" s="3">
        <v>810</v>
      </c>
      <c r="G120" s="15">
        <v>645</v>
      </c>
      <c r="H120" s="15"/>
      <c r="I120" s="15"/>
      <c r="J120" s="15"/>
      <c r="K120" s="5" t="s">
        <v>83</v>
      </c>
      <c r="L120" s="5"/>
      <c r="M120" s="5"/>
      <c r="N120" s="15" t="e">
        <f>#REF!</f>
        <v>#REF!</v>
      </c>
      <c r="O120" s="15" t="e">
        <f>#REF!</f>
        <v>#REF!</v>
      </c>
      <c r="P120" s="85" t="e">
        <f>#REF!</f>
        <v>#REF!</v>
      </c>
      <c r="Q120" s="85" t="e">
        <f>#REF!</f>
        <v>#REF!</v>
      </c>
      <c r="R120" s="85" t="e">
        <f>#REF!</f>
        <v>#REF!</v>
      </c>
    </row>
    <row r="121" spans="1:18" ht="31.5" customHeight="1" hidden="1">
      <c r="A121" s="36"/>
      <c r="B121" s="9" t="s">
        <v>141</v>
      </c>
      <c r="C121" s="3"/>
      <c r="D121" s="3"/>
      <c r="E121" s="11" t="s">
        <v>256</v>
      </c>
      <c r="F121" s="3">
        <v>342</v>
      </c>
      <c r="G121" s="15">
        <v>300</v>
      </c>
      <c r="H121" s="15"/>
      <c r="I121" s="15">
        <v>700</v>
      </c>
      <c r="J121" s="15"/>
      <c r="K121" s="5" t="s">
        <v>83</v>
      </c>
      <c r="L121" s="5"/>
      <c r="M121" s="5"/>
      <c r="N121" s="15" t="e">
        <f>#REF!</f>
        <v>#REF!</v>
      </c>
      <c r="O121" s="15" t="e">
        <f>#REF!</f>
        <v>#REF!</v>
      </c>
      <c r="P121" s="85" t="e">
        <f>#REF!</f>
        <v>#REF!</v>
      </c>
      <c r="Q121" s="85" t="e">
        <f>#REF!</f>
        <v>#REF!</v>
      </c>
      <c r="R121" s="85" t="e">
        <f>#REF!</f>
        <v>#REF!</v>
      </c>
    </row>
    <row r="122" spans="1:18" ht="15.75">
      <c r="A122" s="36">
        <v>55</v>
      </c>
      <c r="B122" s="9" t="s">
        <v>49</v>
      </c>
      <c r="C122" s="3" t="e">
        <f>#REF!</f>
        <v>#REF!</v>
      </c>
      <c r="D122" s="3" t="e">
        <f>#REF!</f>
        <v>#REF!</v>
      </c>
      <c r="E122" s="3"/>
      <c r="F122" s="3"/>
      <c r="G122" s="15">
        <f>+G123+G124+G125+G127</f>
        <v>2754</v>
      </c>
      <c r="H122" s="15">
        <f>+H123+H124+H125+H127</f>
        <v>0</v>
      </c>
      <c r="I122" s="15">
        <f>+I123+I124+I125+I127</f>
        <v>0</v>
      </c>
      <c r="J122" s="15">
        <f>+J123+J124+J125+J127</f>
        <v>0</v>
      </c>
      <c r="K122" s="5" t="s">
        <v>48</v>
      </c>
      <c r="L122" s="5"/>
      <c r="M122" s="5"/>
      <c r="N122" s="15">
        <f>N125</f>
        <v>3390</v>
      </c>
      <c r="O122" s="15">
        <f>O125</f>
        <v>0</v>
      </c>
      <c r="P122" s="85">
        <f>P125</f>
        <v>3390</v>
      </c>
      <c r="Q122" s="85">
        <f>Q125</f>
        <v>3317.73859</v>
      </c>
      <c r="R122" s="85">
        <f>R125</f>
        <v>72.26141</v>
      </c>
    </row>
    <row r="123" spans="1:18" ht="0" customHeight="1" hidden="1">
      <c r="A123" s="36"/>
      <c r="B123" s="9" t="s">
        <v>268</v>
      </c>
      <c r="C123" s="3"/>
      <c r="D123" s="3"/>
      <c r="E123" s="11" t="s">
        <v>134</v>
      </c>
      <c r="F123" s="11">
        <v>352</v>
      </c>
      <c r="G123" s="15">
        <v>340</v>
      </c>
      <c r="H123" s="15"/>
      <c r="I123" s="15">
        <v>-340</v>
      </c>
      <c r="J123" s="15"/>
      <c r="K123" s="5" t="s">
        <v>48</v>
      </c>
      <c r="L123" s="5"/>
      <c r="M123" s="5"/>
      <c r="N123" s="15" t="e">
        <f>#REF!</f>
        <v>#REF!</v>
      </c>
      <c r="O123" s="15" t="e">
        <f>#REF!</f>
        <v>#REF!</v>
      </c>
      <c r="P123" s="85" t="e">
        <f>#REF!</f>
        <v>#REF!</v>
      </c>
      <c r="Q123" s="85" t="e">
        <f>#REF!</f>
        <v>#REF!</v>
      </c>
      <c r="R123" s="85" t="e">
        <f>#REF!</f>
        <v>#REF!</v>
      </c>
    </row>
    <row r="124" spans="1:18" ht="67.5" customHeight="1" hidden="1">
      <c r="A124" s="36"/>
      <c r="B124" s="9" t="s">
        <v>269</v>
      </c>
      <c r="C124" s="3"/>
      <c r="D124" s="3"/>
      <c r="E124" s="11" t="s">
        <v>134</v>
      </c>
      <c r="F124" s="11">
        <v>353</v>
      </c>
      <c r="G124" s="15">
        <v>2414</v>
      </c>
      <c r="H124" s="15"/>
      <c r="I124" s="15">
        <v>-2414</v>
      </c>
      <c r="J124" s="15"/>
      <c r="K124" s="5" t="s">
        <v>48</v>
      </c>
      <c r="L124" s="5"/>
      <c r="M124" s="5"/>
      <c r="N124" s="15" t="e">
        <f>#REF!</f>
        <v>#REF!</v>
      </c>
      <c r="O124" s="15" t="e">
        <f>#REF!</f>
        <v>#REF!</v>
      </c>
      <c r="P124" s="85" t="e">
        <f>#REF!</f>
        <v>#REF!</v>
      </c>
      <c r="Q124" s="85" t="e">
        <f>#REF!</f>
        <v>#REF!</v>
      </c>
      <c r="R124" s="85" t="e">
        <f>#REF!</f>
        <v>#REF!</v>
      </c>
    </row>
    <row r="125" spans="1:18" ht="15.75">
      <c r="A125" s="36">
        <v>56</v>
      </c>
      <c r="B125" s="48" t="s">
        <v>322</v>
      </c>
      <c r="C125" s="3"/>
      <c r="D125" s="3"/>
      <c r="E125" s="11" t="s">
        <v>134</v>
      </c>
      <c r="F125" s="11">
        <v>352</v>
      </c>
      <c r="G125" s="15">
        <v>0</v>
      </c>
      <c r="H125" s="15"/>
      <c r="I125" s="15">
        <v>340</v>
      </c>
      <c r="J125" s="15"/>
      <c r="K125" s="5" t="s">
        <v>48</v>
      </c>
      <c r="L125" s="11" t="s">
        <v>134</v>
      </c>
      <c r="M125" s="5"/>
      <c r="N125" s="15">
        <f>N126+N127</f>
        <v>3390</v>
      </c>
      <c r="O125" s="15">
        <f>O126+O127</f>
        <v>0</v>
      </c>
      <c r="P125" s="85">
        <f>P126+P127</f>
        <v>3390</v>
      </c>
      <c r="Q125" s="85">
        <f>Q126+Q127</f>
        <v>3317.73859</v>
      </c>
      <c r="R125" s="85">
        <f>R126+R127</f>
        <v>72.26141</v>
      </c>
    </row>
    <row r="126" spans="1:18" ht="22.5" customHeight="1">
      <c r="A126" s="36">
        <v>57</v>
      </c>
      <c r="B126" s="48" t="s">
        <v>321</v>
      </c>
      <c r="C126" s="3"/>
      <c r="D126" s="3"/>
      <c r="E126" s="11"/>
      <c r="F126" s="11"/>
      <c r="G126" s="15"/>
      <c r="H126" s="15"/>
      <c r="I126" s="15"/>
      <c r="J126" s="15"/>
      <c r="K126" s="5" t="s">
        <v>48</v>
      </c>
      <c r="L126" s="3" t="s">
        <v>134</v>
      </c>
      <c r="M126" s="5" t="s">
        <v>320</v>
      </c>
      <c r="N126" s="15">
        <f>342+37</f>
        <v>379</v>
      </c>
      <c r="O126" s="15"/>
      <c r="P126" s="85">
        <f>342+37</f>
        <v>379</v>
      </c>
      <c r="Q126" s="93">
        <v>379</v>
      </c>
      <c r="R126" s="89">
        <f>P126-Q126</f>
        <v>0</v>
      </c>
    </row>
    <row r="127" spans="1:18" ht="15.75">
      <c r="A127" s="36">
        <v>58</v>
      </c>
      <c r="B127" s="48" t="s">
        <v>324</v>
      </c>
      <c r="C127" s="3"/>
      <c r="D127" s="3"/>
      <c r="E127" s="11" t="s">
        <v>134</v>
      </c>
      <c r="F127" s="11">
        <v>353</v>
      </c>
      <c r="G127" s="15">
        <v>0</v>
      </c>
      <c r="H127" s="15"/>
      <c r="I127" s="15">
        <v>2414</v>
      </c>
      <c r="J127" s="15"/>
      <c r="K127" s="5" t="s">
        <v>48</v>
      </c>
      <c r="L127" s="3" t="s">
        <v>134</v>
      </c>
      <c r="M127" s="5" t="s">
        <v>323</v>
      </c>
      <c r="N127" s="15">
        <f>2632+379</f>
        <v>3011</v>
      </c>
      <c r="O127" s="15"/>
      <c r="P127" s="85">
        <f>2632+379</f>
        <v>3011</v>
      </c>
      <c r="Q127" s="93">
        <v>2938.73859</v>
      </c>
      <c r="R127" s="89">
        <f>P127-Q127</f>
        <v>72.26141</v>
      </c>
    </row>
    <row r="128" spans="1:18" ht="25.5" customHeight="1">
      <c r="A128" s="36">
        <v>59</v>
      </c>
      <c r="B128" s="9" t="s">
        <v>51</v>
      </c>
      <c r="C128" s="3" t="e">
        <f>#REF!</f>
        <v>#REF!</v>
      </c>
      <c r="D128" s="3" t="e">
        <f>#REF!</f>
        <v>#REF!</v>
      </c>
      <c r="E128" s="11"/>
      <c r="F128" s="3"/>
      <c r="G128" s="15">
        <f>G129+G130+G131+G132</f>
        <v>197824.2</v>
      </c>
      <c r="H128" s="15">
        <f>H129+H130+H131+H132</f>
        <v>0</v>
      </c>
      <c r="I128" s="15">
        <f>I129+I130+I131+I132</f>
        <v>284</v>
      </c>
      <c r="J128" s="15">
        <f>J129+J130+J131+J132</f>
        <v>0</v>
      </c>
      <c r="K128" s="5" t="s">
        <v>50</v>
      </c>
      <c r="L128" s="5"/>
      <c r="M128" s="5"/>
      <c r="N128" s="15">
        <f>N133+N135</f>
        <v>126356</v>
      </c>
      <c r="O128" s="15">
        <f>O133+O135</f>
        <v>0</v>
      </c>
      <c r="P128" s="85">
        <f>P133+P135</f>
        <v>126006</v>
      </c>
      <c r="Q128" s="85">
        <f>Q133+Q135</f>
        <v>125398.64362</v>
      </c>
      <c r="R128" s="85">
        <f>R133+R135</f>
        <v>607.35638</v>
      </c>
    </row>
    <row r="129" spans="1:18" ht="56.25" customHeight="1" hidden="1">
      <c r="A129" s="36"/>
      <c r="B129" s="9" t="s">
        <v>184</v>
      </c>
      <c r="C129" s="3"/>
      <c r="D129" s="3"/>
      <c r="E129" s="11" t="s">
        <v>185</v>
      </c>
      <c r="F129" s="11">
        <v>365</v>
      </c>
      <c r="G129" s="15">
        <v>70129.2</v>
      </c>
      <c r="H129" s="15"/>
      <c r="I129" s="15">
        <v>-12632.76</v>
      </c>
      <c r="J129" s="15"/>
      <c r="K129" s="5" t="s">
        <v>50</v>
      </c>
      <c r="L129" s="5"/>
      <c r="M129" s="5"/>
      <c r="N129" s="15" t="e">
        <f>#REF!</f>
        <v>#REF!</v>
      </c>
      <c r="O129" s="15" t="e">
        <f>#REF!</f>
        <v>#REF!</v>
      </c>
      <c r="P129" s="85" t="e">
        <f>#REF!</f>
        <v>#REF!</v>
      </c>
      <c r="Q129" s="85" t="e">
        <f>#REF!</f>
        <v>#REF!</v>
      </c>
      <c r="R129" s="85" t="e">
        <f>#REF!</f>
        <v>#REF!</v>
      </c>
    </row>
    <row r="130" spans="1:18" ht="63.75" customHeight="1" hidden="1">
      <c r="A130" s="36"/>
      <c r="B130" s="9" t="s">
        <v>286</v>
      </c>
      <c r="C130" s="3"/>
      <c r="D130" s="3"/>
      <c r="E130" s="11" t="s">
        <v>185</v>
      </c>
      <c r="F130" s="11">
        <v>365</v>
      </c>
      <c r="G130" s="15">
        <v>0</v>
      </c>
      <c r="H130" s="15"/>
      <c r="I130" s="15">
        <f>12632.76+284</f>
        <v>12916.76</v>
      </c>
      <c r="J130" s="15"/>
      <c r="K130" s="5" t="s">
        <v>50</v>
      </c>
      <c r="L130" s="5"/>
      <c r="M130" s="5"/>
      <c r="N130" s="15" t="e">
        <f>#REF!</f>
        <v>#REF!</v>
      </c>
      <c r="O130" s="15" t="e">
        <f>#REF!</f>
        <v>#REF!</v>
      </c>
      <c r="P130" s="85" t="e">
        <f>#REF!</f>
        <v>#REF!</v>
      </c>
      <c r="Q130" s="85" t="e">
        <f>#REF!</f>
        <v>#REF!</v>
      </c>
      <c r="R130" s="85" t="e">
        <f>#REF!</f>
        <v>#REF!</v>
      </c>
    </row>
    <row r="131" spans="1:18" ht="33" customHeight="1" hidden="1">
      <c r="A131" s="36"/>
      <c r="B131" s="9" t="s">
        <v>164</v>
      </c>
      <c r="C131" s="3"/>
      <c r="D131" s="3"/>
      <c r="E131" s="11" t="s">
        <v>135</v>
      </c>
      <c r="F131" s="11">
        <v>366</v>
      </c>
      <c r="G131" s="15">
        <v>14288</v>
      </c>
      <c r="H131" s="15"/>
      <c r="I131" s="15"/>
      <c r="J131" s="15"/>
      <c r="K131" s="5" t="s">
        <v>50</v>
      </c>
      <c r="L131" s="5"/>
      <c r="M131" s="5"/>
      <c r="N131" s="15" t="e">
        <f>#REF!</f>
        <v>#REF!</v>
      </c>
      <c r="O131" s="15" t="e">
        <f>#REF!</f>
        <v>#REF!</v>
      </c>
      <c r="P131" s="85" t="e">
        <f>#REF!</f>
        <v>#REF!</v>
      </c>
      <c r="Q131" s="85" t="e">
        <f>#REF!</f>
        <v>#REF!</v>
      </c>
      <c r="R131" s="85" t="e">
        <f>#REF!</f>
        <v>#REF!</v>
      </c>
    </row>
    <row r="132" spans="1:18" ht="33" customHeight="1" hidden="1">
      <c r="A132" s="36"/>
      <c r="B132" s="9" t="s">
        <v>163</v>
      </c>
      <c r="C132" s="3">
        <v>118000</v>
      </c>
      <c r="D132" s="3">
        <v>137032</v>
      </c>
      <c r="E132" s="11" t="s">
        <v>135</v>
      </c>
      <c r="F132" s="11">
        <v>366</v>
      </c>
      <c r="G132" s="15">
        <v>113407</v>
      </c>
      <c r="H132" s="15"/>
      <c r="I132" s="15"/>
      <c r="J132" s="15"/>
      <c r="K132" s="5" t="s">
        <v>50</v>
      </c>
      <c r="L132" s="5"/>
      <c r="M132" s="5"/>
      <c r="N132" s="15" t="e">
        <f>#REF!</f>
        <v>#REF!</v>
      </c>
      <c r="O132" s="15" t="e">
        <f>#REF!</f>
        <v>#REF!</v>
      </c>
      <c r="P132" s="85" t="e">
        <f>#REF!</f>
        <v>#REF!</v>
      </c>
      <c r="Q132" s="85" t="e">
        <f>#REF!</f>
        <v>#REF!</v>
      </c>
      <c r="R132" s="85" t="e">
        <f>#REF!</f>
        <v>#REF!</v>
      </c>
    </row>
    <row r="133" spans="1:18" ht="18.75" customHeight="1">
      <c r="A133" s="36">
        <v>60</v>
      </c>
      <c r="B133" s="9" t="s">
        <v>327</v>
      </c>
      <c r="C133" s="11"/>
      <c r="D133" s="11"/>
      <c r="E133" s="11"/>
      <c r="F133" s="11"/>
      <c r="G133" s="15">
        <f>G135</f>
        <v>1639.743</v>
      </c>
      <c r="H133" s="15">
        <f>H135</f>
        <v>0</v>
      </c>
      <c r="I133" s="15">
        <f>I135</f>
        <v>-1639.743</v>
      </c>
      <c r="J133" s="15">
        <f>J135</f>
        <v>0</v>
      </c>
      <c r="K133" s="5" t="s">
        <v>50</v>
      </c>
      <c r="L133" s="5" t="s">
        <v>325</v>
      </c>
      <c r="M133" s="5"/>
      <c r="N133" s="15">
        <f>N134</f>
        <v>47566</v>
      </c>
      <c r="O133" s="15">
        <f>O134</f>
        <v>0</v>
      </c>
      <c r="P133" s="85">
        <f>P134</f>
        <v>47216</v>
      </c>
      <c r="Q133" s="85">
        <f>Q134</f>
        <v>46608.64362</v>
      </c>
      <c r="R133" s="85">
        <f>R134</f>
        <v>607.35638</v>
      </c>
    </row>
    <row r="134" spans="1:18" ht="22.5" customHeight="1">
      <c r="A134" s="36">
        <v>61</v>
      </c>
      <c r="B134" s="48" t="s">
        <v>328</v>
      </c>
      <c r="C134" s="11"/>
      <c r="D134" s="11"/>
      <c r="E134" s="11"/>
      <c r="F134" s="11"/>
      <c r="G134" s="15"/>
      <c r="H134" s="15"/>
      <c r="I134" s="15"/>
      <c r="J134" s="15"/>
      <c r="K134" s="5" t="s">
        <v>50</v>
      </c>
      <c r="L134" s="5" t="s">
        <v>325</v>
      </c>
      <c r="M134" s="5" t="s">
        <v>326</v>
      </c>
      <c r="N134" s="15">
        <v>47566</v>
      </c>
      <c r="O134" s="15"/>
      <c r="P134" s="85">
        <f>47566-350</f>
        <v>47216</v>
      </c>
      <c r="Q134" s="93">
        <v>46608.64362</v>
      </c>
      <c r="R134" s="89">
        <f>P134-Q134</f>
        <v>607.35638</v>
      </c>
    </row>
    <row r="135" spans="1:18" ht="15.75">
      <c r="A135" s="36">
        <v>62</v>
      </c>
      <c r="B135" s="48" t="s">
        <v>332</v>
      </c>
      <c r="C135" s="11"/>
      <c r="D135" s="11"/>
      <c r="E135" s="11" t="s">
        <v>248</v>
      </c>
      <c r="F135" s="11">
        <v>213</v>
      </c>
      <c r="G135" s="15">
        <v>1639.743</v>
      </c>
      <c r="H135" s="15"/>
      <c r="I135" s="15">
        <v>-1639.743</v>
      </c>
      <c r="J135" s="15"/>
      <c r="K135" s="5" t="s">
        <v>50</v>
      </c>
      <c r="L135" s="5" t="s">
        <v>329</v>
      </c>
      <c r="M135" s="5"/>
      <c r="N135" s="15">
        <f>N136</f>
        <v>78790</v>
      </c>
      <c r="O135" s="15">
        <f>O136</f>
        <v>0</v>
      </c>
      <c r="P135" s="85">
        <f>P136</f>
        <v>78790</v>
      </c>
      <c r="Q135" s="85">
        <f>Q136</f>
        <v>78790</v>
      </c>
      <c r="R135" s="85">
        <f>R136</f>
        <v>0</v>
      </c>
    </row>
    <row r="136" spans="1:18" ht="20.25" customHeight="1">
      <c r="A136" s="36">
        <v>63</v>
      </c>
      <c r="B136" s="48" t="s">
        <v>331</v>
      </c>
      <c r="C136" s="11"/>
      <c r="D136" s="11"/>
      <c r="E136" s="11"/>
      <c r="F136" s="11"/>
      <c r="G136" s="15"/>
      <c r="H136" s="15"/>
      <c r="I136" s="15"/>
      <c r="J136" s="15"/>
      <c r="K136" s="5" t="s">
        <v>50</v>
      </c>
      <c r="L136" s="5" t="s">
        <v>329</v>
      </c>
      <c r="M136" s="5" t="s">
        <v>330</v>
      </c>
      <c r="N136" s="15">
        <v>78790</v>
      </c>
      <c r="O136" s="15"/>
      <c r="P136" s="85">
        <v>78790</v>
      </c>
      <c r="Q136" s="93">
        <v>78790</v>
      </c>
      <c r="R136" s="89">
        <f>P136-Q136</f>
        <v>0</v>
      </c>
    </row>
    <row r="137" spans="1:18" ht="24" customHeight="1">
      <c r="A137" s="36">
        <v>64</v>
      </c>
      <c r="B137" s="6" t="s">
        <v>118</v>
      </c>
      <c r="C137" s="12" t="e">
        <f>#REF!</f>
        <v>#REF!</v>
      </c>
      <c r="D137" s="12" t="e">
        <f>#REF!</f>
        <v>#REF!</v>
      </c>
      <c r="E137" s="12"/>
      <c r="F137" s="12"/>
      <c r="G137" s="15">
        <f>G138+G139+G140+G141+G142+G143+G144</f>
        <v>48251.51518</v>
      </c>
      <c r="H137" s="15">
        <f>H138+H139+H140+H141+H142+H143+H144</f>
        <v>0</v>
      </c>
      <c r="I137" s="15">
        <f>I138+I139+I140+I141+I142+I143+I144</f>
        <v>1639.743</v>
      </c>
      <c r="J137" s="15">
        <f>J138+J139+J140+J141+J142+J143+J144</f>
        <v>0</v>
      </c>
      <c r="K137" s="5" t="s">
        <v>119</v>
      </c>
      <c r="L137" s="5"/>
      <c r="M137" s="5"/>
      <c r="N137" s="15">
        <f>N143+N145+N148</f>
        <v>53507.341</v>
      </c>
      <c r="O137" s="15">
        <f>O143+O145+O148</f>
        <v>-2691</v>
      </c>
      <c r="P137" s="85">
        <f>P143+P145+P148</f>
        <v>47849.341</v>
      </c>
      <c r="Q137" s="85">
        <f>Q143+Q145+Q148</f>
        <v>46679.77122</v>
      </c>
      <c r="R137" s="85">
        <f>R143+R145+R148</f>
        <v>1169.56978</v>
      </c>
    </row>
    <row r="138" spans="1:18" ht="0" customHeight="1" hidden="1">
      <c r="A138" s="36"/>
      <c r="B138" s="6" t="s">
        <v>120</v>
      </c>
      <c r="C138" s="12"/>
      <c r="D138" s="12"/>
      <c r="E138" s="12" t="s">
        <v>253</v>
      </c>
      <c r="F138" s="12">
        <v>405</v>
      </c>
      <c r="G138" s="15">
        <v>1176.81518</v>
      </c>
      <c r="H138" s="15"/>
      <c r="I138" s="15"/>
      <c r="J138" s="15"/>
      <c r="K138" s="5" t="s">
        <v>119</v>
      </c>
      <c r="L138" s="5"/>
      <c r="M138" s="5"/>
      <c r="N138" s="15" t="e">
        <f>#REF!</f>
        <v>#REF!</v>
      </c>
      <c r="O138" s="15" t="e">
        <f>#REF!</f>
        <v>#REF!</v>
      </c>
      <c r="P138" s="85" t="e">
        <f>#REF!</f>
        <v>#REF!</v>
      </c>
      <c r="Q138" s="85" t="e">
        <f>#REF!</f>
        <v>#REF!</v>
      </c>
      <c r="R138" s="85" t="e">
        <f>#REF!</f>
        <v>#REF!</v>
      </c>
    </row>
    <row r="139" spans="1:18" ht="46.5" customHeight="1" hidden="1">
      <c r="A139" s="36"/>
      <c r="B139" s="6" t="s">
        <v>120</v>
      </c>
      <c r="C139" s="3">
        <v>4200</v>
      </c>
      <c r="D139" s="3">
        <v>9230</v>
      </c>
      <c r="E139" s="11" t="s">
        <v>133</v>
      </c>
      <c r="F139" s="11" t="s">
        <v>121</v>
      </c>
      <c r="G139" s="15">
        <v>7567.7</v>
      </c>
      <c r="H139" s="15"/>
      <c r="I139" s="15"/>
      <c r="J139" s="15"/>
      <c r="K139" s="5" t="s">
        <v>119</v>
      </c>
      <c r="L139" s="5"/>
      <c r="M139" s="5"/>
      <c r="N139" s="15" t="e">
        <f>#REF!</f>
        <v>#REF!</v>
      </c>
      <c r="O139" s="15" t="e">
        <f>#REF!</f>
        <v>#REF!</v>
      </c>
      <c r="P139" s="85" t="e">
        <f>#REF!</f>
        <v>#REF!</v>
      </c>
      <c r="Q139" s="85" t="e">
        <f>#REF!</f>
        <v>#REF!</v>
      </c>
      <c r="R139" s="85" t="e">
        <f>#REF!</f>
        <v>#REF!</v>
      </c>
    </row>
    <row r="140" spans="1:18" ht="42.75" customHeight="1" hidden="1">
      <c r="A140" s="36"/>
      <c r="B140" s="6" t="s">
        <v>207</v>
      </c>
      <c r="C140" s="3"/>
      <c r="D140" s="3"/>
      <c r="E140" s="11" t="s">
        <v>208</v>
      </c>
      <c r="F140" s="11">
        <v>811</v>
      </c>
      <c r="G140" s="15">
        <v>0</v>
      </c>
      <c r="H140" s="15"/>
      <c r="I140" s="15"/>
      <c r="J140" s="15"/>
      <c r="K140" s="5" t="s">
        <v>119</v>
      </c>
      <c r="L140" s="5"/>
      <c r="M140" s="5"/>
      <c r="N140" s="15" t="e">
        <f>#REF!</f>
        <v>#REF!</v>
      </c>
      <c r="O140" s="15" t="e">
        <f>#REF!</f>
        <v>#REF!</v>
      </c>
      <c r="P140" s="85" t="e">
        <f>#REF!</f>
        <v>#REF!</v>
      </c>
      <c r="Q140" s="85" t="e">
        <f>#REF!</f>
        <v>#REF!</v>
      </c>
      <c r="R140" s="85" t="e">
        <f>#REF!</f>
        <v>#REF!</v>
      </c>
    </row>
    <row r="141" spans="1:18" ht="42.75" customHeight="1" hidden="1">
      <c r="A141" s="36"/>
      <c r="B141" s="6" t="s">
        <v>207</v>
      </c>
      <c r="C141" s="3"/>
      <c r="D141" s="3"/>
      <c r="E141" s="11" t="s">
        <v>270</v>
      </c>
      <c r="F141" s="11">
        <v>216</v>
      </c>
      <c r="G141" s="15">
        <v>29507</v>
      </c>
      <c r="H141" s="15"/>
      <c r="I141" s="15"/>
      <c r="J141" s="15"/>
      <c r="K141" s="5" t="s">
        <v>119</v>
      </c>
      <c r="L141" s="5"/>
      <c r="M141" s="5"/>
      <c r="N141" s="15" t="e">
        <f>#REF!</f>
        <v>#REF!</v>
      </c>
      <c r="O141" s="15" t="e">
        <f>#REF!</f>
        <v>#REF!</v>
      </c>
      <c r="P141" s="85" t="e">
        <f>#REF!</f>
        <v>#REF!</v>
      </c>
      <c r="Q141" s="85" t="e">
        <f>#REF!</f>
        <v>#REF!</v>
      </c>
      <c r="R141" s="85" t="e">
        <f>#REF!</f>
        <v>#REF!</v>
      </c>
    </row>
    <row r="142" spans="1:18" ht="162" customHeight="1" hidden="1">
      <c r="A142" s="36"/>
      <c r="B142" s="20" t="s">
        <v>474</v>
      </c>
      <c r="C142" s="3"/>
      <c r="D142" s="3"/>
      <c r="E142" s="11" t="s">
        <v>254</v>
      </c>
      <c r="F142" s="11">
        <v>521</v>
      </c>
      <c r="G142" s="15">
        <v>5000</v>
      </c>
      <c r="H142" s="15"/>
      <c r="I142" s="15"/>
      <c r="J142" s="15"/>
      <c r="K142" s="5" t="s">
        <v>119</v>
      </c>
      <c r="L142" s="5"/>
      <c r="M142" s="5"/>
      <c r="N142" s="15" t="e">
        <f>#REF!</f>
        <v>#REF!</v>
      </c>
      <c r="O142" s="15" t="e">
        <f>#REF!</f>
        <v>#REF!</v>
      </c>
      <c r="P142" s="85" t="e">
        <f>#REF!</f>
        <v>#REF!</v>
      </c>
      <c r="Q142" s="85" t="e">
        <f>#REF!</f>
        <v>#REF!</v>
      </c>
      <c r="R142" s="85" t="e">
        <f>#REF!</f>
        <v>#REF!</v>
      </c>
    </row>
    <row r="143" spans="1:18" ht="31.5">
      <c r="A143" s="36">
        <v>65</v>
      </c>
      <c r="B143" s="9" t="s">
        <v>299</v>
      </c>
      <c r="C143" s="3"/>
      <c r="D143" s="3"/>
      <c r="E143" s="11" t="s">
        <v>262</v>
      </c>
      <c r="F143" s="11">
        <v>521</v>
      </c>
      <c r="G143" s="15">
        <v>5000</v>
      </c>
      <c r="H143" s="23"/>
      <c r="I143" s="23"/>
      <c r="J143" s="23"/>
      <c r="K143" s="5" t="s">
        <v>119</v>
      </c>
      <c r="L143" s="5" t="s">
        <v>300</v>
      </c>
      <c r="M143" s="5"/>
      <c r="N143" s="15">
        <f>N144</f>
        <v>24229.03</v>
      </c>
      <c r="O143" s="15">
        <f>O144</f>
        <v>33</v>
      </c>
      <c r="P143" s="85">
        <f>P144</f>
        <v>23595.03</v>
      </c>
      <c r="Q143" s="85">
        <f>Q144</f>
        <v>22446.74026</v>
      </c>
      <c r="R143" s="85">
        <f>R144</f>
        <v>1148.28974</v>
      </c>
    </row>
    <row r="144" spans="1:18" ht="15.75">
      <c r="A144" s="36">
        <v>66</v>
      </c>
      <c r="B144" s="9" t="s">
        <v>301</v>
      </c>
      <c r="C144" s="11"/>
      <c r="D144" s="11"/>
      <c r="E144" s="11" t="s">
        <v>248</v>
      </c>
      <c r="F144" s="11">
        <v>213</v>
      </c>
      <c r="G144" s="15">
        <v>0</v>
      </c>
      <c r="H144" s="15"/>
      <c r="I144" s="15">
        <v>1639.743</v>
      </c>
      <c r="J144" s="15"/>
      <c r="K144" s="5" t="s">
        <v>119</v>
      </c>
      <c r="L144" s="5" t="s">
        <v>300</v>
      </c>
      <c r="M144" s="5" t="s">
        <v>168</v>
      </c>
      <c r="N144" s="15">
        <f>22725.9+1105.5+197.63+200</f>
        <v>24229.03</v>
      </c>
      <c r="O144" s="15">
        <v>33</v>
      </c>
      <c r="P144" s="85">
        <f>22725.9+1105.5+197.63+200+33-667</f>
        <v>23595.03</v>
      </c>
      <c r="Q144" s="93">
        <f>8554.45915+12471.77576+64.5+1356.00535</f>
        <v>22446.74026</v>
      </c>
      <c r="R144" s="89">
        <f>P144-Q144</f>
        <v>1148.28974</v>
      </c>
    </row>
    <row r="145" spans="1:18" ht="31.5">
      <c r="A145" s="36">
        <v>67</v>
      </c>
      <c r="B145" s="47" t="s">
        <v>390</v>
      </c>
      <c r="C145" s="11"/>
      <c r="D145" s="11"/>
      <c r="E145" s="11"/>
      <c r="F145" s="11"/>
      <c r="G145" s="15"/>
      <c r="H145" s="15"/>
      <c r="I145" s="15"/>
      <c r="J145" s="15"/>
      <c r="K145" s="5" t="s">
        <v>119</v>
      </c>
      <c r="L145" s="5" t="s">
        <v>389</v>
      </c>
      <c r="M145" s="5"/>
      <c r="N145" s="15">
        <f>N147+N146</f>
        <v>26554.311</v>
      </c>
      <c r="O145" s="15">
        <f>O147+O146</f>
        <v>0</v>
      </c>
      <c r="P145" s="85">
        <f>P147+P146</f>
        <v>24254.311</v>
      </c>
      <c r="Q145" s="85">
        <f>Q147+Q146</f>
        <v>24233.03096</v>
      </c>
      <c r="R145" s="85">
        <f>R147+R146</f>
        <v>21.28004</v>
      </c>
    </row>
    <row r="146" spans="1:18" ht="15.75">
      <c r="A146" s="36">
        <v>68</v>
      </c>
      <c r="B146" s="47" t="s">
        <v>441</v>
      </c>
      <c r="C146" s="11"/>
      <c r="D146" s="11"/>
      <c r="E146" s="11"/>
      <c r="F146" s="11"/>
      <c r="G146" s="15"/>
      <c r="H146" s="15"/>
      <c r="I146" s="15"/>
      <c r="J146" s="15"/>
      <c r="K146" s="5" t="s">
        <v>119</v>
      </c>
      <c r="L146" s="5" t="s">
        <v>389</v>
      </c>
      <c r="M146" s="5" t="s">
        <v>440</v>
      </c>
      <c r="N146" s="15">
        <f>15000+3500</f>
        <v>18500</v>
      </c>
      <c r="O146" s="15"/>
      <c r="P146" s="85">
        <f>15000+3500</f>
        <v>18500</v>
      </c>
      <c r="Q146" s="93">
        <f>15000+3500</f>
        <v>18500</v>
      </c>
      <c r="R146" s="89">
        <f>P146-Q146</f>
        <v>0</v>
      </c>
    </row>
    <row r="147" spans="1:18" ht="18" customHeight="1">
      <c r="A147" s="36">
        <v>69</v>
      </c>
      <c r="B147" s="50" t="s">
        <v>391</v>
      </c>
      <c r="C147" s="11"/>
      <c r="D147" s="11"/>
      <c r="E147" s="11"/>
      <c r="F147" s="11"/>
      <c r="G147" s="15"/>
      <c r="H147" s="15"/>
      <c r="I147" s="15"/>
      <c r="J147" s="15"/>
      <c r="K147" s="5" t="s">
        <v>119</v>
      </c>
      <c r="L147" s="5" t="s">
        <v>389</v>
      </c>
      <c r="M147" s="5" t="s">
        <v>121</v>
      </c>
      <c r="N147" s="15">
        <v>8054.311</v>
      </c>
      <c r="O147" s="15"/>
      <c r="P147" s="85">
        <f>8054.311-2300</f>
        <v>5754.311</v>
      </c>
      <c r="Q147" s="93">
        <f>1178.72195+4554.30901</f>
        <v>5733.03096</v>
      </c>
      <c r="R147" s="89">
        <f>P147-Q147</f>
        <v>21.28004</v>
      </c>
    </row>
    <row r="148" spans="1:18" ht="15.75" hidden="1">
      <c r="A148" s="72"/>
      <c r="B148" s="82" t="s">
        <v>310</v>
      </c>
      <c r="C148" s="81"/>
      <c r="D148" s="81"/>
      <c r="E148" s="81"/>
      <c r="F148" s="81"/>
      <c r="G148" s="75"/>
      <c r="H148" s="75"/>
      <c r="I148" s="75"/>
      <c r="J148" s="75"/>
      <c r="K148" s="76" t="s">
        <v>119</v>
      </c>
      <c r="L148" s="76" t="s">
        <v>362</v>
      </c>
      <c r="M148" s="76"/>
      <c r="N148" s="75">
        <f>N149</f>
        <v>2724</v>
      </c>
      <c r="O148" s="75">
        <f>O149</f>
        <v>-2724</v>
      </c>
      <c r="P148" s="86">
        <f>P149</f>
        <v>0</v>
      </c>
      <c r="Q148" s="93"/>
      <c r="R148" s="93"/>
    </row>
    <row r="149" spans="1:18" ht="15.75" hidden="1">
      <c r="A149" s="72"/>
      <c r="B149" s="83" t="s">
        <v>451</v>
      </c>
      <c r="C149" s="81"/>
      <c r="D149" s="81"/>
      <c r="E149" s="81"/>
      <c r="F149" s="81"/>
      <c r="G149" s="75"/>
      <c r="H149" s="75"/>
      <c r="I149" s="75"/>
      <c r="J149" s="75"/>
      <c r="K149" s="76" t="s">
        <v>119</v>
      </c>
      <c r="L149" s="76" t="s">
        <v>362</v>
      </c>
      <c r="M149" s="76" t="s">
        <v>450</v>
      </c>
      <c r="N149" s="75">
        <v>2724</v>
      </c>
      <c r="O149" s="75">
        <v>-2724</v>
      </c>
      <c r="P149" s="86">
        <v>0</v>
      </c>
      <c r="Q149" s="93"/>
      <c r="R149" s="93"/>
    </row>
    <row r="150" spans="1:18" ht="20.25" customHeight="1">
      <c r="A150" s="67">
        <v>70</v>
      </c>
      <c r="B150" s="52" t="s">
        <v>7</v>
      </c>
      <c r="C150" s="27" t="e">
        <f>C151+C164+#REF!</f>
        <v>#REF!</v>
      </c>
      <c r="D150" s="27" t="e">
        <f>D151+D164+#REF!</f>
        <v>#REF!</v>
      </c>
      <c r="E150" s="27"/>
      <c r="F150" s="27"/>
      <c r="G150" s="28" t="e">
        <f>G151+G164</f>
        <v>#REF!</v>
      </c>
      <c r="H150" s="28" t="e">
        <f>H151+H164</f>
        <v>#REF!</v>
      </c>
      <c r="I150" s="28" t="e">
        <f>I151+I164</f>
        <v>#REF!</v>
      </c>
      <c r="J150" s="28" t="e">
        <f>J151+J164</f>
        <v>#REF!</v>
      </c>
      <c r="K150" s="29" t="s">
        <v>52</v>
      </c>
      <c r="L150" s="29"/>
      <c r="M150" s="29"/>
      <c r="N150" s="28">
        <f>N151+N164</f>
        <v>657176.18277</v>
      </c>
      <c r="O150" s="28">
        <f>O151+O164</f>
        <v>8900</v>
      </c>
      <c r="P150" s="84">
        <f>P151+P164</f>
        <v>700509.40177</v>
      </c>
      <c r="Q150" s="84">
        <f>Q151+Q164</f>
        <v>467526.29286</v>
      </c>
      <c r="R150" s="84">
        <f>R151+R164</f>
        <v>232983.10891</v>
      </c>
    </row>
    <row r="151" spans="1:18" ht="25.5" customHeight="1">
      <c r="A151" s="36">
        <v>71</v>
      </c>
      <c r="B151" s="9" t="s">
        <v>6</v>
      </c>
      <c r="C151" s="3">
        <f>SUM(C152:C157)</f>
        <v>15292</v>
      </c>
      <c r="D151" s="3">
        <f>SUM(D152:D157)</f>
        <v>10969</v>
      </c>
      <c r="E151" s="3"/>
      <c r="F151" s="3"/>
      <c r="G151" s="53">
        <f>G152+G153+G154+G155+G156+G157+G158+G159+G160+G161</f>
        <v>82856.2036</v>
      </c>
      <c r="H151" s="53">
        <f>H152+H153+H154+H155+H156+H157+H158+H159+H160+H161</f>
        <v>0</v>
      </c>
      <c r="I151" s="53">
        <f>I152+I153+I154+I155+I156+I157+I158+I159+I160+I161</f>
        <v>0</v>
      </c>
      <c r="J151" s="53">
        <f>J152+J153+J154+J155+J156+J157+J158+J159+J160+J161</f>
        <v>0</v>
      </c>
      <c r="K151" s="5" t="s">
        <v>53</v>
      </c>
      <c r="L151" s="5"/>
      <c r="M151" s="5"/>
      <c r="N151" s="15">
        <f>N161+N159</f>
        <v>120556.94057</v>
      </c>
      <c r="O151" s="15">
        <f>O161+O159</f>
        <v>9700</v>
      </c>
      <c r="P151" s="85">
        <f>P161+P159</f>
        <v>121393.94057</v>
      </c>
      <c r="Q151" s="85">
        <f>Q161+Q159</f>
        <v>48579.1405</v>
      </c>
      <c r="R151" s="85">
        <f>R161+R159</f>
        <v>72814.80007</v>
      </c>
    </row>
    <row r="152" spans="1:18" ht="21" customHeight="1" hidden="1">
      <c r="A152" s="36"/>
      <c r="B152" s="9" t="s">
        <v>54</v>
      </c>
      <c r="C152" s="3">
        <v>15292</v>
      </c>
      <c r="D152" s="3">
        <v>10969</v>
      </c>
      <c r="E152" s="3" t="s">
        <v>212</v>
      </c>
      <c r="F152" s="7" t="s">
        <v>165</v>
      </c>
      <c r="G152" s="15">
        <v>10969</v>
      </c>
      <c r="H152" s="15"/>
      <c r="I152" s="15"/>
      <c r="J152" s="15"/>
      <c r="K152" s="5" t="s">
        <v>53</v>
      </c>
      <c r="L152" s="5"/>
      <c r="M152" s="5"/>
      <c r="N152" s="15" t="e">
        <f>#REF!</f>
        <v>#REF!</v>
      </c>
      <c r="O152" s="15" t="e">
        <f>#REF!</f>
        <v>#REF!</v>
      </c>
      <c r="P152" s="85" t="e">
        <f>#REF!</f>
        <v>#REF!</v>
      </c>
      <c r="Q152" s="85" t="e">
        <f>#REF!</f>
        <v>#REF!</v>
      </c>
      <c r="R152" s="85" t="e">
        <f>#REF!</f>
        <v>#REF!</v>
      </c>
    </row>
    <row r="153" spans="1:18" ht="39" customHeight="1" hidden="1">
      <c r="A153" s="36"/>
      <c r="B153" s="9" t="s">
        <v>166</v>
      </c>
      <c r="C153" s="3"/>
      <c r="D153" s="3"/>
      <c r="E153" s="3" t="s">
        <v>136</v>
      </c>
      <c r="F153" s="7" t="s">
        <v>165</v>
      </c>
      <c r="G153" s="15">
        <v>1492</v>
      </c>
      <c r="H153" s="15"/>
      <c r="I153" s="15"/>
      <c r="J153" s="15"/>
      <c r="K153" s="5" t="s">
        <v>53</v>
      </c>
      <c r="L153" s="5"/>
      <c r="M153" s="5"/>
      <c r="N153" s="15" t="e">
        <f>#REF!</f>
        <v>#REF!</v>
      </c>
      <c r="O153" s="15" t="e">
        <f>#REF!</f>
        <v>#REF!</v>
      </c>
      <c r="P153" s="85" t="e">
        <f>#REF!</f>
        <v>#REF!</v>
      </c>
      <c r="Q153" s="85" t="e">
        <f>#REF!</f>
        <v>#REF!</v>
      </c>
      <c r="R153" s="85" t="e">
        <f>#REF!</f>
        <v>#REF!</v>
      </c>
    </row>
    <row r="154" spans="1:18" ht="47.25" hidden="1">
      <c r="A154" s="36"/>
      <c r="B154" s="9" t="s">
        <v>257</v>
      </c>
      <c r="C154" s="3"/>
      <c r="D154" s="3"/>
      <c r="E154" s="2" t="s">
        <v>242</v>
      </c>
      <c r="F154" s="7" t="s">
        <v>278</v>
      </c>
      <c r="G154" s="15">
        <v>13000</v>
      </c>
      <c r="H154" s="15"/>
      <c r="I154" s="15">
        <v>-6500</v>
      </c>
      <c r="J154" s="15"/>
      <c r="K154" s="5" t="s">
        <v>53</v>
      </c>
      <c r="L154" s="5"/>
      <c r="M154" s="5"/>
      <c r="N154" s="15" t="e">
        <f>#REF!</f>
        <v>#REF!</v>
      </c>
      <c r="O154" s="15" t="e">
        <f>#REF!</f>
        <v>#REF!</v>
      </c>
      <c r="P154" s="85" t="e">
        <f>#REF!</f>
        <v>#REF!</v>
      </c>
      <c r="Q154" s="85" t="e">
        <f>#REF!</f>
        <v>#REF!</v>
      </c>
      <c r="R154" s="85" t="e">
        <f>#REF!</f>
        <v>#REF!</v>
      </c>
    </row>
    <row r="155" spans="1:18" ht="66" customHeight="1" hidden="1">
      <c r="A155" s="36"/>
      <c r="B155" s="6" t="s">
        <v>289</v>
      </c>
      <c r="C155" s="3"/>
      <c r="D155" s="3"/>
      <c r="E155" s="2" t="s">
        <v>242</v>
      </c>
      <c r="F155" s="7" t="s">
        <v>278</v>
      </c>
      <c r="G155" s="15">
        <v>0</v>
      </c>
      <c r="H155" s="15"/>
      <c r="I155" s="15">
        <v>6500</v>
      </c>
      <c r="J155" s="15"/>
      <c r="K155" s="5" t="s">
        <v>53</v>
      </c>
      <c r="L155" s="5"/>
      <c r="M155" s="5"/>
      <c r="N155" s="15" t="e">
        <f>#REF!</f>
        <v>#REF!</v>
      </c>
      <c r="O155" s="15" t="e">
        <f>#REF!</f>
        <v>#REF!</v>
      </c>
      <c r="P155" s="85" t="e">
        <f>#REF!</f>
        <v>#REF!</v>
      </c>
      <c r="Q155" s="85" t="e">
        <f>#REF!</f>
        <v>#REF!</v>
      </c>
      <c r="R155" s="85" t="e">
        <f>#REF!</f>
        <v>#REF!</v>
      </c>
    </row>
    <row r="156" spans="1:18" ht="54" customHeight="1" hidden="1">
      <c r="A156" s="36"/>
      <c r="B156" s="9" t="s">
        <v>258</v>
      </c>
      <c r="C156" s="3"/>
      <c r="D156" s="3"/>
      <c r="E156" s="2" t="s">
        <v>243</v>
      </c>
      <c r="F156" s="7" t="s">
        <v>278</v>
      </c>
      <c r="G156" s="15">
        <v>1000</v>
      </c>
      <c r="H156" s="15"/>
      <c r="I156" s="15"/>
      <c r="J156" s="15"/>
      <c r="K156" s="5" t="s">
        <v>53</v>
      </c>
      <c r="L156" s="5"/>
      <c r="M156" s="5"/>
      <c r="N156" s="15" t="e">
        <f>#REF!</f>
        <v>#REF!</v>
      </c>
      <c r="O156" s="15" t="e">
        <f>#REF!</f>
        <v>#REF!</v>
      </c>
      <c r="P156" s="85" t="e">
        <f>#REF!</f>
        <v>#REF!</v>
      </c>
      <c r="Q156" s="85" t="e">
        <f>#REF!</f>
        <v>#REF!</v>
      </c>
      <c r="R156" s="85" t="e">
        <f>#REF!</f>
        <v>#REF!</v>
      </c>
    </row>
    <row r="157" spans="1:18" ht="14.25" customHeight="1" hidden="1">
      <c r="A157" s="36"/>
      <c r="B157" s="6" t="s">
        <v>139</v>
      </c>
      <c r="C157" s="3"/>
      <c r="D157" s="3"/>
      <c r="E157" s="2" t="s">
        <v>284</v>
      </c>
      <c r="F157" s="3">
        <v>410</v>
      </c>
      <c r="G157" s="15">
        <v>39975.2036</v>
      </c>
      <c r="H157" s="15"/>
      <c r="I157" s="15"/>
      <c r="J157" s="15"/>
      <c r="K157" s="5" t="s">
        <v>53</v>
      </c>
      <c r="L157" s="5"/>
      <c r="M157" s="5"/>
      <c r="N157" s="15" t="e">
        <f>#REF!</f>
        <v>#REF!</v>
      </c>
      <c r="O157" s="15" t="e">
        <f>#REF!</f>
        <v>#REF!</v>
      </c>
      <c r="P157" s="85" t="e">
        <f>#REF!</f>
        <v>#REF!</v>
      </c>
      <c r="Q157" s="85" t="e">
        <f>#REF!</f>
        <v>#REF!</v>
      </c>
      <c r="R157" s="85" t="e">
        <f>#REF!</f>
        <v>#REF!</v>
      </c>
    </row>
    <row r="158" spans="1:18" ht="14.25" customHeight="1" hidden="1">
      <c r="A158" s="36"/>
      <c r="B158" s="6" t="s">
        <v>241</v>
      </c>
      <c r="C158" s="3"/>
      <c r="D158" s="3"/>
      <c r="E158" s="2" t="s">
        <v>247</v>
      </c>
      <c r="F158" s="3">
        <v>410</v>
      </c>
      <c r="G158" s="15">
        <v>6000</v>
      </c>
      <c r="H158" s="15"/>
      <c r="I158" s="15"/>
      <c r="J158" s="15"/>
      <c r="K158" s="5" t="s">
        <v>53</v>
      </c>
      <c r="L158" s="5"/>
      <c r="M158" s="5"/>
      <c r="N158" s="15" t="e">
        <f>#REF!</f>
        <v>#REF!</v>
      </c>
      <c r="O158" s="15" t="e">
        <f>#REF!</f>
        <v>#REF!</v>
      </c>
      <c r="P158" s="85" t="e">
        <f>#REF!</f>
        <v>#REF!</v>
      </c>
      <c r="Q158" s="85" t="e">
        <f>#REF!</f>
        <v>#REF!</v>
      </c>
      <c r="R158" s="85" t="e">
        <f>#REF!</f>
        <v>#REF!</v>
      </c>
    </row>
    <row r="159" spans="1:18" ht="15.75">
      <c r="A159" s="36">
        <v>72</v>
      </c>
      <c r="B159" s="54" t="s">
        <v>457</v>
      </c>
      <c r="C159" s="3"/>
      <c r="D159" s="3"/>
      <c r="E159" s="2" t="s">
        <v>224</v>
      </c>
      <c r="F159" s="3">
        <v>410</v>
      </c>
      <c r="G159" s="15">
        <v>420</v>
      </c>
      <c r="H159" s="15"/>
      <c r="I159" s="15"/>
      <c r="J159" s="15"/>
      <c r="K159" s="5" t="s">
        <v>53</v>
      </c>
      <c r="L159" s="5" t="s">
        <v>233</v>
      </c>
      <c r="M159" s="5"/>
      <c r="N159" s="15">
        <f>N160</f>
        <v>118721.34057</v>
      </c>
      <c r="O159" s="15">
        <f>O160</f>
        <v>9700</v>
      </c>
      <c r="P159" s="85">
        <f>P160</f>
        <v>118606.34057</v>
      </c>
      <c r="Q159" s="85">
        <f>Q160</f>
        <v>45967.7985</v>
      </c>
      <c r="R159" s="85">
        <f>R160</f>
        <v>72638.54207</v>
      </c>
    </row>
    <row r="160" spans="1:18" ht="15.75">
      <c r="A160" s="36">
        <v>73</v>
      </c>
      <c r="B160" s="40" t="s">
        <v>458</v>
      </c>
      <c r="C160" s="3"/>
      <c r="D160" s="3"/>
      <c r="E160" s="11" t="s">
        <v>255</v>
      </c>
      <c r="F160" s="11">
        <v>410</v>
      </c>
      <c r="G160" s="15">
        <v>5000</v>
      </c>
      <c r="H160" s="21"/>
      <c r="I160" s="21"/>
      <c r="J160" s="21"/>
      <c r="K160" s="5" t="s">
        <v>53</v>
      </c>
      <c r="L160" s="5" t="s">
        <v>233</v>
      </c>
      <c r="M160" s="5" t="s">
        <v>456</v>
      </c>
      <c r="N160" s="15">
        <f>2846.34057+115875</f>
        <v>118721.34057</v>
      </c>
      <c r="O160" s="15">
        <v>9700</v>
      </c>
      <c r="P160" s="85">
        <f>2846.34057+115875+9700-9815</f>
        <v>118606.34057</v>
      </c>
      <c r="Q160" s="93">
        <v>45967.7985</v>
      </c>
      <c r="R160" s="89">
        <f>P160-Q160</f>
        <v>72638.54207</v>
      </c>
    </row>
    <row r="161" spans="1:18" ht="20.25" customHeight="1">
      <c r="A161" s="36">
        <v>74</v>
      </c>
      <c r="B161" s="48" t="s">
        <v>334</v>
      </c>
      <c r="C161" s="3"/>
      <c r="D161" s="3"/>
      <c r="E161" s="11" t="s">
        <v>271</v>
      </c>
      <c r="F161" s="11">
        <v>410</v>
      </c>
      <c r="G161" s="15">
        <v>5000</v>
      </c>
      <c r="H161" s="21"/>
      <c r="I161" s="21"/>
      <c r="J161" s="21"/>
      <c r="K161" s="5" t="s">
        <v>53</v>
      </c>
      <c r="L161" s="5" t="s">
        <v>333</v>
      </c>
      <c r="M161" s="5"/>
      <c r="N161" s="15">
        <f>+N162</f>
        <v>1835.6</v>
      </c>
      <c r="O161" s="15">
        <f>+O162</f>
        <v>0</v>
      </c>
      <c r="P161" s="85">
        <f>+P162+P163</f>
        <v>2787.6</v>
      </c>
      <c r="Q161" s="85">
        <f>+Q162+Q163</f>
        <v>2611.342</v>
      </c>
      <c r="R161" s="85">
        <f>+R162+R163</f>
        <v>176.258</v>
      </c>
    </row>
    <row r="162" spans="1:18" ht="44.25" customHeight="1">
      <c r="A162" s="36">
        <v>75</v>
      </c>
      <c r="B162" s="47" t="s">
        <v>336</v>
      </c>
      <c r="C162" s="3"/>
      <c r="D162" s="3"/>
      <c r="E162" s="11"/>
      <c r="F162" s="11"/>
      <c r="G162" s="15"/>
      <c r="H162" s="21"/>
      <c r="I162" s="21"/>
      <c r="J162" s="21"/>
      <c r="K162" s="5" t="s">
        <v>53</v>
      </c>
      <c r="L162" s="5" t="s">
        <v>333</v>
      </c>
      <c r="M162" s="5" t="s">
        <v>278</v>
      </c>
      <c r="N162" s="53">
        <f>3543.65038-460+1200+111540+191.51019+206.78-2846.34057-111540</f>
        <v>1835.6</v>
      </c>
      <c r="O162" s="53"/>
      <c r="P162" s="87">
        <f>3543.65038-460+1200+111540+191.51019+206.78-2846.34057-111540-48</f>
        <v>1787.6</v>
      </c>
      <c r="Q162" s="93">
        <v>1727.182</v>
      </c>
      <c r="R162" s="89">
        <f>P162-Q162</f>
        <v>60.418</v>
      </c>
    </row>
    <row r="163" spans="1:18" ht="31.5" customHeight="1">
      <c r="A163" s="36">
        <v>76</v>
      </c>
      <c r="B163" s="9" t="s">
        <v>473</v>
      </c>
      <c r="C163" s="3"/>
      <c r="D163" s="3"/>
      <c r="E163" s="11"/>
      <c r="F163" s="11"/>
      <c r="G163" s="15"/>
      <c r="H163" s="21"/>
      <c r="I163" s="21"/>
      <c r="J163" s="21"/>
      <c r="K163" s="5" t="s">
        <v>53</v>
      </c>
      <c r="L163" s="5" t="s">
        <v>333</v>
      </c>
      <c r="M163" s="5" t="s">
        <v>472</v>
      </c>
      <c r="N163" s="53">
        <f>3543.65038-460+1200+111540+191.51019+206.78-2846.34057-111540</f>
        <v>1835.6</v>
      </c>
      <c r="O163" s="53"/>
      <c r="P163" s="87">
        <f>1000</f>
        <v>1000</v>
      </c>
      <c r="Q163" s="93">
        <v>884.16</v>
      </c>
      <c r="R163" s="89">
        <f>P163-Q163</f>
        <v>115.84</v>
      </c>
    </row>
    <row r="164" spans="1:18" ht="18" customHeight="1">
      <c r="A164" s="36">
        <v>77</v>
      </c>
      <c r="B164" s="9" t="s">
        <v>0</v>
      </c>
      <c r="C164" s="3">
        <f>C165+C166+C167</f>
        <v>113878</v>
      </c>
      <c r="D164" s="3">
        <f>D165+D166+D167</f>
        <v>172238</v>
      </c>
      <c r="E164" s="3"/>
      <c r="F164" s="3"/>
      <c r="G164" s="15" t="e">
        <f>G167+G169+G171+G172+G173+G174+G175+G176+#REF!+G177+G179+#REF!+G168+G170</f>
        <v>#REF!</v>
      </c>
      <c r="H164" s="15" t="e">
        <f>H167+H169+H171+H172+H173+H174+H175+H176+#REF!+H177+H179+#REF!+H168+H170</f>
        <v>#REF!</v>
      </c>
      <c r="I164" s="15" t="e">
        <f>I167+I169+I171+I172+I173+I174+I175+I176+#REF!+I177+I179+#REF!+I168+I170</f>
        <v>#REF!</v>
      </c>
      <c r="J164" s="15" t="e">
        <f>J167+J169+J171+J172+J173+J174+J175+J176+#REF!+J177+J179+#REF!+J168+J170</f>
        <v>#REF!</v>
      </c>
      <c r="K164" s="5" t="s">
        <v>55</v>
      </c>
      <c r="L164" s="5"/>
      <c r="M164" s="5"/>
      <c r="N164" s="15">
        <f>N177</f>
        <v>536619.2422</v>
      </c>
      <c r="O164" s="15">
        <f>O177</f>
        <v>-800</v>
      </c>
      <c r="P164" s="85">
        <f>P177</f>
        <v>579115.4612</v>
      </c>
      <c r="Q164" s="85">
        <f>Q177</f>
        <v>418947.15236</v>
      </c>
      <c r="R164" s="85">
        <f>R177</f>
        <v>160168.30884</v>
      </c>
    </row>
    <row r="165" spans="1:18" ht="31.5" hidden="1">
      <c r="A165" s="36"/>
      <c r="B165" s="9" t="s">
        <v>123</v>
      </c>
      <c r="C165" s="3">
        <v>3357</v>
      </c>
      <c r="D165" s="3">
        <f>3536+1796</f>
        <v>5332</v>
      </c>
      <c r="E165" s="2" t="s">
        <v>127</v>
      </c>
      <c r="F165" s="16" t="s">
        <v>168</v>
      </c>
      <c r="G165" s="15"/>
      <c r="H165" s="15"/>
      <c r="I165" s="15"/>
      <c r="J165" s="15"/>
      <c r="K165" s="5" t="s">
        <v>55</v>
      </c>
      <c r="L165" s="5"/>
      <c r="M165" s="5"/>
      <c r="N165" s="15" t="e">
        <f>#REF!</f>
        <v>#REF!</v>
      </c>
      <c r="O165" s="15" t="e">
        <f>#REF!</f>
        <v>#REF!</v>
      </c>
      <c r="P165" s="85" t="e">
        <f>#REF!</f>
        <v>#REF!</v>
      </c>
      <c r="Q165" s="85" t="e">
        <f>#REF!</f>
        <v>#REF!</v>
      </c>
      <c r="R165" s="85" t="e">
        <f>#REF!</f>
        <v>#REF!</v>
      </c>
    </row>
    <row r="166" spans="1:18" ht="15.75" hidden="1">
      <c r="A166" s="36"/>
      <c r="B166" s="9" t="s">
        <v>81</v>
      </c>
      <c r="C166" s="3"/>
      <c r="D166" s="3"/>
      <c r="E166" s="2" t="s">
        <v>127</v>
      </c>
      <c r="F166" s="16" t="s">
        <v>168</v>
      </c>
      <c r="G166" s="15"/>
      <c r="H166" s="15"/>
      <c r="I166" s="15"/>
      <c r="J166" s="15"/>
      <c r="K166" s="5" t="s">
        <v>55</v>
      </c>
      <c r="L166" s="5"/>
      <c r="M166" s="5"/>
      <c r="N166" s="15" t="e">
        <f>#REF!</f>
        <v>#REF!</v>
      </c>
      <c r="O166" s="15" t="e">
        <f>#REF!</f>
        <v>#REF!</v>
      </c>
      <c r="P166" s="85" t="e">
        <f>#REF!</f>
        <v>#REF!</v>
      </c>
      <c r="Q166" s="85" t="e">
        <f>#REF!</f>
        <v>#REF!</v>
      </c>
      <c r="R166" s="85" t="e">
        <f>#REF!</f>
        <v>#REF!</v>
      </c>
    </row>
    <row r="167" spans="1:18" ht="51.75" customHeight="1" hidden="1">
      <c r="A167" s="36"/>
      <c r="B167" s="9" t="s">
        <v>162</v>
      </c>
      <c r="C167" s="3">
        <v>110521</v>
      </c>
      <c r="D167" s="3">
        <v>166906</v>
      </c>
      <c r="E167" s="3" t="s">
        <v>137</v>
      </c>
      <c r="F167" s="3">
        <v>412</v>
      </c>
      <c r="G167" s="15">
        <v>39609.7</v>
      </c>
      <c r="H167" s="15"/>
      <c r="I167" s="15">
        <v>-7310.24</v>
      </c>
      <c r="J167" s="15"/>
      <c r="K167" s="5" t="s">
        <v>55</v>
      </c>
      <c r="L167" s="5"/>
      <c r="M167" s="5"/>
      <c r="N167" s="15" t="e">
        <f>#REF!</f>
        <v>#REF!</v>
      </c>
      <c r="O167" s="15" t="e">
        <f>#REF!</f>
        <v>#REF!</v>
      </c>
      <c r="P167" s="85" t="e">
        <f>#REF!</f>
        <v>#REF!</v>
      </c>
      <c r="Q167" s="85" t="e">
        <f>#REF!</f>
        <v>#REF!</v>
      </c>
      <c r="R167" s="85" t="e">
        <f>#REF!</f>
        <v>#REF!</v>
      </c>
    </row>
    <row r="168" spans="1:18" ht="60" customHeight="1" hidden="1">
      <c r="A168" s="36"/>
      <c r="B168" s="6" t="s">
        <v>287</v>
      </c>
      <c r="C168" s="2"/>
      <c r="D168" s="2"/>
      <c r="E168" s="3" t="s">
        <v>137</v>
      </c>
      <c r="F168" s="3">
        <v>412</v>
      </c>
      <c r="G168" s="15">
        <v>0</v>
      </c>
      <c r="H168" s="15"/>
      <c r="I168" s="15">
        <f>597+2000+7310.24</f>
        <v>9907.24</v>
      </c>
      <c r="J168" s="15"/>
      <c r="K168" s="5" t="s">
        <v>55</v>
      </c>
      <c r="L168" s="5"/>
      <c r="M168" s="5"/>
      <c r="N168" s="15" t="e">
        <f>#REF!</f>
        <v>#REF!</v>
      </c>
      <c r="O168" s="15" t="e">
        <f>#REF!</f>
        <v>#REF!</v>
      </c>
      <c r="P168" s="85" t="e">
        <f>#REF!</f>
        <v>#REF!</v>
      </c>
      <c r="Q168" s="85" t="e">
        <f>#REF!</f>
        <v>#REF!</v>
      </c>
      <c r="R168" s="85" t="e">
        <f>#REF!</f>
        <v>#REF!</v>
      </c>
    </row>
    <row r="169" spans="1:18" ht="51.75" customHeight="1" hidden="1">
      <c r="A169" s="36"/>
      <c r="B169" s="6" t="s">
        <v>272</v>
      </c>
      <c r="C169" s="2"/>
      <c r="D169" s="2"/>
      <c r="E169" s="2" t="s">
        <v>273</v>
      </c>
      <c r="F169" s="2">
        <v>412</v>
      </c>
      <c r="G169" s="15">
        <v>350</v>
      </c>
      <c r="H169" s="15"/>
      <c r="I169" s="15">
        <v>1210</v>
      </c>
      <c r="J169" s="15"/>
      <c r="K169" s="5" t="s">
        <v>55</v>
      </c>
      <c r="L169" s="5"/>
      <c r="M169" s="5"/>
      <c r="N169" s="15" t="e">
        <f>#REF!</f>
        <v>#REF!</v>
      </c>
      <c r="O169" s="15" t="e">
        <f>#REF!</f>
        <v>#REF!</v>
      </c>
      <c r="P169" s="85" t="e">
        <f>#REF!</f>
        <v>#REF!</v>
      </c>
      <c r="Q169" s="85" t="e">
        <f>#REF!</f>
        <v>#REF!</v>
      </c>
      <c r="R169" s="85" t="e">
        <f>#REF!</f>
        <v>#REF!</v>
      </c>
    </row>
    <row r="170" spans="1:18" s="24" customFormat="1" ht="51.75" customHeight="1" hidden="1">
      <c r="A170" s="36"/>
      <c r="B170" s="6" t="s">
        <v>285</v>
      </c>
      <c r="C170" s="2"/>
      <c r="D170" s="2"/>
      <c r="E170" s="2" t="s">
        <v>273</v>
      </c>
      <c r="F170" s="2">
        <v>412</v>
      </c>
      <c r="G170" s="15">
        <v>0</v>
      </c>
      <c r="H170" s="15"/>
      <c r="I170" s="15">
        <v>4000</v>
      </c>
      <c r="J170" s="15"/>
      <c r="K170" s="5" t="s">
        <v>55</v>
      </c>
      <c r="L170" s="5"/>
      <c r="M170" s="5"/>
      <c r="N170" s="15" t="e">
        <f>#REF!</f>
        <v>#REF!</v>
      </c>
      <c r="O170" s="15" t="e">
        <f>#REF!</f>
        <v>#REF!</v>
      </c>
      <c r="P170" s="85" t="e">
        <f>#REF!</f>
        <v>#REF!</v>
      </c>
      <c r="Q170" s="85" t="e">
        <f>#REF!</f>
        <v>#REF!</v>
      </c>
      <c r="R170" s="85" t="e">
        <f>#REF!</f>
        <v>#REF!</v>
      </c>
    </row>
    <row r="171" spans="1:18" ht="36" customHeight="1" hidden="1">
      <c r="A171" s="36"/>
      <c r="B171" s="6" t="s">
        <v>140</v>
      </c>
      <c r="C171" s="2"/>
      <c r="D171" s="2"/>
      <c r="E171" s="2" t="s">
        <v>273</v>
      </c>
      <c r="F171" s="2">
        <v>411</v>
      </c>
      <c r="G171" s="15">
        <v>61826.60765</v>
      </c>
      <c r="H171" s="15"/>
      <c r="I171" s="15">
        <v>2500</v>
      </c>
      <c r="J171" s="15"/>
      <c r="K171" s="5" t="s">
        <v>55</v>
      </c>
      <c r="L171" s="5"/>
      <c r="M171" s="5"/>
      <c r="N171" s="15" t="e">
        <f>#REF!</f>
        <v>#REF!</v>
      </c>
      <c r="O171" s="15" t="e">
        <f>#REF!</f>
        <v>#REF!</v>
      </c>
      <c r="P171" s="85" t="e">
        <f>#REF!</f>
        <v>#REF!</v>
      </c>
      <c r="Q171" s="85" t="e">
        <f>#REF!</f>
        <v>#REF!</v>
      </c>
      <c r="R171" s="85" t="e">
        <f>#REF!</f>
        <v>#REF!</v>
      </c>
    </row>
    <row r="172" spans="1:18" ht="57.75" customHeight="1" hidden="1">
      <c r="A172" s="36"/>
      <c r="B172" s="6" t="s">
        <v>259</v>
      </c>
      <c r="C172" s="2"/>
      <c r="D172" s="2"/>
      <c r="E172" s="2" t="s">
        <v>244</v>
      </c>
      <c r="F172" s="2">
        <v>411</v>
      </c>
      <c r="G172" s="15">
        <v>3000</v>
      </c>
      <c r="H172" s="15"/>
      <c r="I172" s="15"/>
      <c r="J172" s="15"/>
      <c r="K172" s="5" t="s">
        <v>55</v>
      </c>
      <c r="L172" s="5"/>
      <c r="M172" s="5"/>
      <c r="N172" s="15" t="e">
        <f>#REF!</f>
        <v>#REF!</v>
      </c>
      <c r="O172" s="15" t="e">
        <f>#REF!</f>
        <v>#REF!</v>
      </c>
      <c r="P172" s="85" t="e">
        <f>#REF!</f>
        <v>#REF!</v>
      </c>
      <c r="Q172" s="85" t="e">
        <f>#REF!</f>
        <v>#REF!</v>
      </c>
      <c r="R172" s="85" t="e">
        <f>#REF!</f>
        <v>#REF!</v>
      </c>
    </row>
    <row r="173" spans="1:18" ht="0" customHeight="1" hidden="1">
      <c r="A173" s="36"/>
      <c r="B173" s="6" t="s">
        <v>227</v>
      </c>
      <c r="C173" s="2"/>
      <c r="D173" s="2"/>
      <c r="E173" s="2" t="s">
        <v>226</v>
      </c>
      <c r="F173" s="2">
        <v>411</v>
      </c>
      <c r="G173" s="15">
        <f>5644.55718+84.43452</f>
        <v>5728.9917</v>
      </c>
      <c r="H173" s="15"/>
      <c r="I173" s="15">
        <v>7400</v>
      </c>
      <c r="J173" s="15"/>
      <c r="K173" s="5" t="s">
        <v>55</v>
      </c>
      <c r="L173" s="5"/>
      <c r="M173" s="5"/>
      <c r="N173" s="15" t="e">
        <f>#REF!</f>
        <v>#REF!</v>
      </c>
      <c r="O173" s="15" t="e">
        <f>#REF!</f>
        <v>#REF!</v>
      </c>
      <c r="P173" s="85" t="e">
        <f>#REF!</f>
        <v>#REF!</v>
      </c>
      <c r="Q173" s="85" t="e">
        <f>#REF!</f>
        <v>#REF!</v>
      </c>
      <c r="R173" s="85" t="e">
        <f>#REF!</f>
        <v>#REF!</v>
      </c>
    </row>
    <row r="174" spans="1:18" ht="36" customHeight="1" hidden="1">
      <c r="A174" s="36">
        <v>70</v>
      </c>
      <c r="B174" s="6" t="s">
        <v>126</v>
      </c>
      <c r="C174" s="2"/>
      <c r="D174" s="2"/>
      <c r="E174" s="3" t="s">
        <v>220</v>
      </c>
      <c r="F174" s="7" t="s">
        <v>165</v>
      </c>
      <c r="G174" s="15">
        <v>8009</v>
      </c>
      <c r="H174" s="15"/>
      <c r="I174" s="15"/>
      <c r="J174" s="15"/>
      <c r="K174" s="5" t="s">
        <v>55</v>
      </c>
      <c r="L174" s="5"/>
      <c r="M174" s="5"/>
      <c r="N174" s="15" t="e">
        <f>#REF!</f>
        <v>#REF!</v>
      </c>
      <c r="O174" s="15" t="e">
        <f>#REF!</f>
        <v>#REF!</v>
      </c>
      <c r="P174" s="85" t="e">
        <f>#REF!</f>
        <v>#REF!</v>
      </c>
      <c r="Q174" s="85" t="e">
        <f>#REF!</f>
        <v>#REF!</v>
      </c>
      <c r="R174" s="85" t="e">
        <f>#REF!</f>
        <v>#REF!</v>
      </c>
    </row>
    <row r="175" spans="1:18" ht="58.5" customHeight="1" hidden="1">
      <c r="A175" s="36">
        <v>76</v>
      </c>
      <c r="B175" s="6" t="s">
        <v>260</v>
      </c>
      <c r="C175" s="2"/>
      <c r="D175" s="2"/>
      <c r="E175" s="2" t="s">
        <v>249</v>
      </c>
      <c r="F175" s="2">
        <v>411</v>
      </c>
      <c r="G175" s="15">
        <v>32000</v>
      </c>
      <c r="H175" s="23"/>
      <c r="I175" s="23"/>
      <c r="J175" s="23"/>
      <c r="K175" s="5" t="s">
        <v>55</v>
      </c>
      <c r="L175" s="5"/>
      <c r="M175" s="5"/>
      <c r="N175" s="15" t="e">
        <f>#REF!</f>
        <v>#REF!</v>
      </c>
      <c r="O175" s="15" t="e">
        <f>#REF!</f>
        <v>#REF!</v>
      </c>
      <c r="P175" s="85" t="e">
        <f>#REF!</f>
        <v>#REF!</v>
      </c>
      <c r="Q175" s="85" t="e">
        <f>#REF!</f>
        <v>#REF!</v>
      </c>
      <c r="R175" s="85" t="e">
        <f>#REF!</f>
        <v>#REF!</v>
      </c>
    </row>
    <row r="176" spans="1:18" ht="23.25" customHeight="1" hidden="1">
      <c r="A176" s="36">
        <v>77</v>
      </c>
      <c r="B176" s="9" t="s">
        <v>56</v>
      </c>
      <c r="C176" s="3">
        <v>180</v>
      </c>
      <c r="D176" s="3">
        <v>185</v>
      </c>
      <c r="E176" s="3" t="s">
        <v>221</v>
      </c>
      <c r="F176" s="7" t="s">
        <v>165</v>
      </c>
      <c r="G176" s="15">
        <v>182</v>
      </c>
      <c r="H176" s="15"/>
      <c r="I176" s="15"/>
      <c r="J176" s="15"/>
      <c r="K176" s="5" t="s">
        <v>55</v>
      </c>
      <c r="L176" s="5"/>
      <c r="M176" s="5"/>
      <c r="N176" s="15" t="e">
        <f>#REF!</f>
        <v>#REF!</v>
      </c>
      <c r="O176" s="15" t="e">
        <f>#REF!</f>
        <v>#REF!</v>
      </c>
      <c r="P176" s="85" t="e">
        <f>#REF!</f>
        <v>#REF!</v>
      </c>
      <c r="Q176" s="85" t="e">
        <f>#REF!</f>
        <v>#REF!</v>
      </c>
      <c r="R176" s="85" t="e">
        <f>#REF!</f>
        <v>#REF!</v>
      </c>
    </row>
    <row r="177" spans="1:18" ht="21" customHeight="1">
      <c r="A177" s="36">
        <v>78</v>
      </c>
      <c r="B177" s="48" t="s">
        <v>338</v>
      </c>
      <c r="C177" s="3">
        <v>546</v>
      </c>
      <c r="D177" s="3">
        <v>595</v>
      </c>
      <c r="E177" s="3" t="s">
        <v>221</v>
      </c>
      <c r="F177" s="7" t="s">
        <v>165</v>
      </c>
      <c r="G177" s="15">
        <v>579</v>
      </c>
      <c r="H177" s="15"/>
      <c r="I177" s="15"/>
      <c r="J177" s="15"/>
      <c r="K177" s="5" t="s">
        <v>55</v>
      </c>
      <c r="L177" s="5" t="s">
        <v>337</v>
      </c>
      <c r="M177" s="5"/>
      <c r="N177" s="15">
        <f>N178+N179+N180</f>
        <v>536619.2422</v>
      </c>
      <c r="O177" s="15">
        <f>O178+O179+O180</f>
        <v>-800</v>
      </c>
      <c r="P177" s="85">
        <f>P178+P179+P180</f>
        <v>579115.4612</v>
      </c>
      <c r="Q177" s="85">
        <f>Q178+Q179+Q180</f>
        <v>418947.15236</v>
      </c>
      <c r="R177" s="85">
        <f>R178+R179+R180</f>
        <v>160168.30884</v>
      </c>
    </row>
    <row r="178" spans="1:18" ht="21" customHeight="1">
      <c r="A178" s="36">
        <v>79</v>
      </c>
      <c r="B178" s="49" t="s">
        <v>335</v>
      </c>
      <c r="C178" s="2"/>
      <c r="D178" s="2"/>
      <c r="E178" s="2"/>
      <c r="F178" s="13"/>
      <c r="G178" s="15"/>
      <c r="H178" s="15"/>
      <c r="I178" s="15"/>
      <c r="J178" s="15"/>
      <c r="K178" s="5" t="s">
        <v>55</v>
      </c>
      <c r="L178" s="5" t="s">
        <v>337</v>
      </c>
      <c r="M178" s="5" t="s">
        <v>165</v>
      </c>
      <c r="N178" s="15">
        <f>15050.5-2500+1766.51019-1200-566.51019-3580+97914.7</f>
        <v>106885.2</v>
      </c>
      <c r="O178" s="15"/>
      <c r="P178" s="85">
        <f>15050.5-2500+1766.51019-1200-566.51019-3580+97914.7+31813.219</f>
        <v>138698.419</v>
      </c>
      <c r="Q178" s="93">
        <v>92240.01559</v>
      </c>
      <c r="R178" s="89">
        <f>P178-Q178</f>
        <v>46458.40341</v>
      </c>
    </row>
    <row r="179" spans="1:18" ht="45.75" customHeight="1">
      <c r="A179" s="68">
        <v>80</v>
      </c>
      <c r="B179" s="55" t="s">
        <v>340</v>
      </c>
      <c r="C179" s="2"/>
      <c r="D179" s="2"/>
      <c r="E179" s="2" t="s">
        <v>228</v>
      </c>
      <c r="F179" s="13" t="s">
        <v>165</v>
      </c>
      <c r="G179" s="15">
        <v>3451</v>
      </c>
      <c r="H179" s="15"/>
      <c r="I179" s="15"/>
      <c r="J179" s="15"/>
      <c r="K179" s="5" t="s">
        <v>55</v>
      </c>
      <c r="L179" s="5" t="s">
        <v>337</v>
      </c>
      <c r="M179" s="5" t="s">
        <v>339</v>
      </c>
      <c r="N179" s="15">
        <f>445634+2500+368.3222-111540+25+154.3-21676-18000</f>
        <v>297465.6222</v>
      </c>
      <c r="O179" s="15"/>
      <c r="P179" s="85">
        <f>445634+2500+368.3222-111540+25+154.3-21676-18000-1045</f>
        <v>296420.6222</v>
      </c>
      <c r="Q179" s="93">
        <v>204487.62799</v>
      </c>
      <c r="R179" s="89">
        <f>P179-Q179</f>
        <v>91932.99421</v>
      </c>
    </row>
    <row r="180" spans="1:18" ht="31.5">
      <c r="A180" s="36">
        <v>81</v>
      </c>
      <c r="B180" s="55" t="s">
        <v>342</v>
      </c>
      <c r="C180" s="2"/>
      <c r="D180" s="2"/>
      <c r="E180" s="2"/>
      <c r="F180" s="13"/>
      <c r="G180" s="15"/>
      <c r="H180" s="15"/>
      <c r="I180" s="15"/>
      <c r="J180" s="15"/>
      <c r="K180" s="5" t="s">
        <v>55</v>
      </c>
      <c r="L180" s="5" t="s">
        <v>337</v>
      </c>
      <c r="M180" s="5" t="s">
        <v>341</v>
      </c>
      <c r="N180" s="15">
        <f>98999.4+175+25.42+200-416+7704.6+3580+4000+18000</f>
        <v>132268.42</v>
      </c>
      <c r="O180" s="15">
        <v>-800</v>
      </c>
      <c r="P180" s="85">
        <f>98999.4+175+25.42+200-416+7704.6+3580+4000+18000-800+12130+398</f>
        <v>143996.42</v>
      </c>
      <c r="Q180" s="93">
        <v>122219.50878</v>
      </c>
      <c r="R180" s="89">
        <f>P180-Q180</f>
        <v>21776.91122</v>
      </c>
    </row>
    <row r="181" spans="1:18" ht="21.75" customHeight="1">
      <c r="A181" s="67">
        <v>82</v>
      </c>
      <c r="B181" s="30" t="s">
        <v>187</v>
      </c>
      <c r="C181" s="31"/>
      <c r="D181" s="31"/>
      <c r="E181" s="31"/>
      <c r="F181" s="31"/>
      <c r="G181" s="28">
        <f>G183</f>
        <v>3109</v>
      </c>
      <c r="H181" s="56">
        <f>H183</f>
        <v>0</v>
      </c>
      <c r="I181" s="56">
        <f>I183</f>
        <v>0</v>
      </c>
      <c r="J181" s="56">
        <f>J183</f>
        <v>0</v>
      </c>
      <c r="K181" s="29" t="s">
        <v>186</v>
      </c>
      <c r="L181" s="29"/>
      <c r="M181" s="29"/>
      <c r="N181" s="28">
        <f>N182+N186</f>
        <v>1500</v>
      </c>
      <c r="O181" s="28">
        <f>O182+O186</f>
        <v>0</v>
      </c>
      <c r="P181" s="84">
        <f>P182+P186</f>
        <v>1500</v>
      </c>
      <c r="Q181" s="84">
        <f>Q182+Q186</f>
        <v>1370.05001</v>
      </c>
      <c r="R181" s="84">
        <f>R182+R186</f>
        <v>129.94999</v>
      </c>
    </row>
    <row r="182" spans="1:18" ht="15.75" hidden="1">
      <c r="A182" s="36"/>
      <c r="B182" s="37" t="s">
        <v>374</v>
      </c>
      <c r="C182" s="31"/>
      <c r="D182" s="31"/>
      <c r="E182" s="31"/>
      <c r="F182" s="31"/>
      <c r="G182" s="28"/>
      <c r="H182" s="56"/>
      <c r="I182" s="56"/>
      <c r="J182" s="56"/>
      <c r="K182" s="5" t="s">
        <v>188</v>
      </c>
      <c r="L182" s="57"/>
      <c r="M182" s="29"/>
      <c r="N182" s="15">
        <f>N183</f>
        <v>0</v>
      </c>
      <c r="O182" s="15">
        <f>O183</f>
        <v>0</v>
      </c>
      <c r="P182" s="85">
        <f>P183</f>
        <v>0</v>
      </c>
      <c r="Q182" s="85">
        <f>Q183</f>
        <v>0</v>
      </c>
      <c r="R182" s="85">
        <f>R183</f>
        <v>0</v>
      </c>
    </row>
    <row r="183" spans="1:18" ht="30.75" customHeight="1" hidden="1">
      <c r="A183" s="36"/>
      <c r="B183" s="6" t="s">
        <v>189</v>
      </c>
      <c r="C183" s="2"/>
      <c r="D183" s="2"/>
      <c r="E183" s="2"/>
      <c r="F183" s="2"/>
      <c r="G183" s="15">
        <f>G184+G185</f>
        <v>3109</v>
      </c>
      <c r="H183" s="15">
        <f>H184+H185</f>
        <v>0</v>
      </c>
      <c r="I183" s="15">
        <f>I184+I185</f>
        <v>0</v>
      </c>
      <c r="J183" s="15">
        <f>J184+J185</f>
        <v>0</v>
      </c>
      <c r="K183" s="5" t="s">
        <v>188</v>
      </c>
      <c r="L183" s="2">
        <v>4000000</v>
      </c>
      <c r="M183" s="5"/>
      <c r="N183" s="15">
        <f>N185</f>
        <v>0</v>
      </c>
      <c r="O183" s="15">
        <f>O185</f>
        <v>0</v>
      </c>
      <c r="P183" s="85">
        <f>P185</f>
        <v>0</v>
      </c>
      <c r="Q183" s="85">
        <f>Q185</f>
        <v>0</v>
      </c>
      <c r="R183" s="85">
        <f>R185</f>
        <v>0</v>
      </c>
    </row>
    <row r="184" spans="1:18" ht="47.25" hidden="1">
      <c r="A184" s="36">
        <v>84</v>
      </c>
      <c r="B184" s="9" t="s">
        <v>190</v>
      </c>
      <c r="C184" s="2"/>
      <c r="D184" s="2"/>
      <c r="E184" s="2" t="s">
        <v>169</v>
      </c>
      <c r="F184" s="2">
        <v>440</v>
      </c>
      <c r="G184" s="15">
        <v>3109</v>
      </c>
      <c r="H184" s="15"/>
      <c r="I184" s="15">
        <v>-622.28</v>
      </c>
      <c r="J184" s="15"/>
      <c r="K184" s="5" t="s">
        <v>188</v>
      </c>
      <c r="L184" s="5"/>
      <c r="M184" s="5"/>
      <c r="N184" s="15" t="e">
        <f>#REF!</f>
        <v>#REF!</v>
      </c>
      <c r="O184" s="15" t="e">
        <f>#REF!</f>
        <v>#REF!</v>
      </c>
      <c r="P184" s="85" t="e">
        <f>#REF!</f>
        <v>#REF!</v>
      </c>
      <c r="Q184" s="85" t="e">
        <f>#REF!</f>
        <v>#REF!</v>
      </c>
      <c r="R184" s="85" t="e">
        <f>#REF!</f>
        <v>#REF!</v>
      </c>
    </row>
    <row r="185" spans="1:18" ht="21.75" customHeight="1" hidden="1">
      <c r="A185" s="36"/>
      <c r="B185" s="37" t="s">
        <v>346</v>
      </c>
      <c r="C185" s="2"/>
      <c r="D185" s="2"/>
      <c r="E185" s="2" t="s">
        <v>169</v>
      </c>
      <c r="F185" s="2">
        <v>440</v>
      </c>
      <c r="G185" s="15">
        <v>0</v>
      </c>
      <c r="H185" s="15"/>
      <c r="I185" s="15">
        <v>622.28</v>
      </c>
      <c r="J185" s="15"/>
      <c r="K185" s="5" t="s">
        <v>188</v>
      </c>
      <c r="L185" s="5" t="s">
        <v>345</v>
      </c>
      <c r="M185" s="5" t="s">
        <v>344</v>
      </c>
      <c r="N185" s="15">
        <f>7704.6-7704.6</f>
        <v>0</v>
      </c>
      <c r="O185" s="15"/>
      <c r="P185" s="85">
        <f>7704.6-7704.6</f>
        <v>0</v>
      </c>
      <c r="Q185" s="85">
        <f>7704.6-7704.6</f>
        <v>0</v>
      </c>
      <c r="R185" s="85">
        <f>7704.6-7704.6</f>
        <v>0</v>
      </c>
    </row>
    <row r="186" spans="1:18" ht="31.5">
      <c r="A186" s="36">
        <v>83</v>
      </c>
      <c r="B186" s="55" t="s">
        <v>396</v>
      </c>
      <c r="C186" s="2"/>
      <c r="D186" s="2"/>
      <c r="E186" s="2"/>
      <c r="F186" s="2"/>
      <c r="G186" s="15"/>
      <c r="H186" s="15"/>
      <c r="I186" s="15"/>
      <c r="J186" s="15"/>
      <c r="K186" s="5" t="s">
        <v>397</v>
      </c>
      <c r="L186" s="5"/>
      <c r="M186" s="5"/>
      <c r="N186" s="15">
        <f aca="true" t="shared" si="6" ref="N186:R187">N187</f>
        <v>1500</v>
      </c>
      <c r="O186" s="15">
        <f t="shared" si="6"/>
        <v>0</v>
      </c>
      <c r="P186" s="85">
        <f t="shared" si="6"/>
        <v>1500</v>
      </c>
      <c r="Q186" s="85">
        <f t="shared" si="6"/>
        <v>1370.05001</v>
      </c>
      <c r="R186" s="85">
        <f t="shared" si="6"/>
        <v>129.94999</v>
      </c>
    </row>
    <row r="187" spans="1:18" ht="15.75">
      <c r="A187" s="36">
        <v>84</v>
      </c>
      <c r="B187" s="37" t="s">
        <v>399</v>
      </c>
      <c r="C187" s="2"/>
      <c r="D187" s="2"/>
      <c r="E187" s="2"/>
      <c r="F187" s="2"/>
      <c r="G187" s="15"/>
      <c r="H187" s="15"/>
      <c r="I187" s="15"/>
      <c r="J187" s="15"/>
      <c r="K187" s="5" t="s">
        <v>397</v>
      </c>
      <c r="L187" s="5" t="s">
        <v>398</v>
      </c>
      <c r="M187" s="5"/>
      <c r="N187" s="15">
        <f t="shared" si="6"/>
        <v>1500</v>
      </c>
      <c r="O187" s="15">
        <f t="shared" si="6"/>
        <v>0</v>
      </c>
      <c r="P187" s="85">
        <f t="shared" si="6"/>
        <v>1500</v>
      </c>
      <c r="Q187" s="85">
        <f t="shared" si="6"/>
        <v>1370.05001</v>
      </c>
      <c r="R187" s="85">
        <f t="shared" si="6"/>
        <v>129.94999</v>
      </c>
    </row>
    <row r="188" spans="1:18" ht="15.75">
      <c r="A188" s="68">
        <v>85</v>
      </c>
      <c r="B188" s="38" t="s">
        <v>401</v>
      </c>
      <c r="C188" s="2"/>
      <c r="D188" s="2"/>
      <c r="E188" s="2"/>
      <c r="F188" s="2"/>
      <c r="G188" s="15"/>
      <c r="H188" s="15"/>
      <c r="I188" s="15"/>
      <c r="J188" s="15"/>
      <c r="K188" s="5" t="s">
        <v>397</v>
      </c>
      <c r="L188" s="5" t="s">
        <v>398</v>
      </c>
      <c r="M188" s="5" t="s">
        <v>400</v>
      </c>
      <c r="N188" s="15">
        <v>1500</v>
      </c>
      <c r="O188" s="15"/>
      <c r="P188" s="85">
        <v>1500</v>
      </c>
      <c r="Q188" s="93">
        <v>1370.05001</v>
      </c>
      <c r="R188" s="89">
        <f>P188-Q188</f>
        <v>129.94999</v>
      </c>
    </row>
    <row r="189" spans="1:18" ht="15.75">
      <c r="A189" s="67">
        <v>86</v>
      </c>
      <c r="B189" s="26" t="s">
        <v>1</v>
      </c>
      <c r="C189" s="27" t="e">
        <f>C190+C194+C220+C225</f>
        <v>#REF!</v>
      </c>
      <c r="D189" s="27" t="e">
        <f>D190+D194+D220+D225</f>
        <v>#REF!</v>
      </c>
      <c r="E189" s="27"/>
      <c r="F189" s="27"/>
      <c r="G189" s="28" t="e">
        <f>G190+G194+G220+G225</f>
        <v>#REF!</v>
      </c>
      <c r="H189" s="28" t="e">
        <f>H190+H194+H220+H225</f>
        <v>#REF!</v>
      </c>
      <c r="I189" s="28" t="e">
        <f>I190+I194+I220+I225</f>
        <v>#REF!</v>
      </c>
      <c r="J189" s="28" t="e">
        <f>J190+J194+J220+J225</f>
        <v>#REF!</v>
      </c>
      <c r="K189" s="29" t="s">
        <v>57</v>
      </c>
      <c r="L189" s="29"/>
      <c r="M189" s="29"/>
      <c r="N189" s="28">
        <f>N190+N194+N220+N225</f>
        <v>799290.09242</v>
      </c>
      <c r="O189" s="28">
        <f>O190+O194+O220+O225</f>
        <v>8993.802</v>
      </c>
      <c r="P189" s="84">
        <f>P190+P194+P220+P225</f>
        <v>797185.67782</v>
      </c>
      <c r="Q189" s="84">
        <f>Q190+Q194+Q220+Q225</f>
        <v>774332.65313</v>
      </c>
      <c r="R189" s="84">
        <f>R190+R194+R220+R225</f>
        <v>22853.02469</v>
      </c>
    </row>
    <row r="190" spans="1:18" ht="15.75">
      <c r="A190" s="69">
        <v>87</v>
      </c>
      <c r="B190" s="9" t="s">
        <v>8</v>
      </c>
      <c r="C190" s="2">
        <f>C191</f>
        <v>186745</v>
      </c>
      <c r="D190" s="2">
        <f>D191</f>
        <v>226074</v>
      </c>
      <c r="E190" s="2"/>
      <c r="F190" s="2"/>
      <c r="G190" s="15" t="e">
        <f>G191</f>
        <v>#REF!</v>
      </c>
      <c r="H190" s="15" t="e">
        <f>H191</f>
        <v>#REF!</v>
      </c>
      <c r="I190" s="15" t="e">
        <f>I191</f>
        <v>#REF!</v>
      </c>
      <c r="J190" s="15" t="e">
        <f>J191</f>
        <v>#REF!</v>
      </c>
      <c r="K190" s="5" t="s">
        <v>58</v>
      </c>
      <c r="L190" s="5"/>
      <c r="M190" s="5"/>
      <c r="N190" s="15">
        <f>N192</f>
        <v>295042.5071</v>
      </c>
      <c r="O190" s="15">
        <f>O192</f>
        <v>3674</v>
      </c>
      <c r="P190" s="85">
        <f>P192</f>
        <v>285857.4071</v>
      </c>
      <c r="Q190" s="85">
        <f>Q192</f>
        <v>276902.01476</v>
      </c>
      <c r="R190" s="85">
        <f>R192</f>
        <v>8955.39234</v>
      </c>
    </row>
    <row r="191" spans="1:18" ht="23.25" customHeight="1" hidden="1">
      <c r="A191" s="36">
        <v>88</v>
      </c>
      <c r="B191" s="9" t="s">
        <v>107</v>
      </c>
      <c r="C191" s="2">
        <f>C192</f>
        <v>186745</v>
      </c>
      <c r="D191" s="2">
        <f>D192</f>
        <v>226074</v>
      </c>
      <c r="E191" s="2"/>
      <c r="F191" s="2"/>
      <c r="G191" s="15" t="e">
        <f>G192+G193+#REF!+#REF!</f>
        <v>#REF!</v>
      </c>
      <c r="H191" s="15" t="e">
        <f>H192+H193+#REF!+#REF!</f>
        <v>#REF!</v>
      </c>
      <c r="I191" s="15" t="e">
        <f>I192+I193+#REF!+#REF!</f>
        <v>#REF!</v>
      </c>
      <c r="J191" s="15" t="e">
        <f>J192+J193+#REF!+#REF!</f>
        <v>#REF!</v>
      </c>
      <c r="K191" s="5" t="s">
        <v>58</v>
      </c>
      <c r="L191" s="5"/>
      <c r="M191" s="5"/>
      <c r="N191" s="15" t="e">
        <f>#REF!</f>
        <v>#REF!</v>
      </c>
      <c r="O191" s="15" t="e">
        <f>#REF!</f>
        <v>#REF!</v>
      </c>
      <c r="P191" s="85" t="e">
        <f>#REF!</f>
        <v>#REF!</v>
      </c>
      <c r="Q191" s="85" t="e">
        <f>#REF!</f>
        <v>#REF!</v>
      </c>
      <c r="R191" s="85" t="e">
        <f>#REF!</f>
        <v>#REF!</v>
      </c>
    </row>
    <row r="192" spans="1:18" ht="21" customHeight="1">
      <c r="A192" s="36">
        <v>88</v>
      </c>
      <c r="B192" s="9" t="s">
        <v>107</v>
      </c>
      <c r="C192" s="3">
        <v>186745</v>
      </c>
      <c r="D192" s="3">
        <v>226074</v>
      </c>
      <c r="E192" s="2" t="s">
        <v>157</v>
      </c>
      <c r="F192" s="3" t="s">
        <v>22</v>
      </c>
      <c r="G192" s="15">
        <v>221785.37554</v>
      </c>
      <c r="H192" s="15"/>
      <c r="I192" s="15"/>
      <c r="J192" s="15">
        <f>2215.443+580.445</f>
        <v>2795.888</v>
      </c>
      <c r="K192" s="5" t="s">
        <v>58</v>
      </c>
      <c r="L192" s="5" t="s">
        <v>347</v>
      </c>
      <c r="M192" s="5"/>
      <c r="N192" s="15">
        <f>N193</f>
        <v>295042.5071</v>
      </c>
      <c r="O192" s="15">
        <f>O193</f>
        <v>3674</v>
      </c>
      <c r="P192" s="85">
        <f>P193</f>
        <v>285857.4071</v>
      </c>
      <c r="Q192" s="85">
        <f>Q193</f>
        <v>276902.01476</v>
      </c>
      <c r="R192" s="85">
        <f>R193</f>
        <v>8955.39234</v>
      </c>
    </row>
    <row r="193" spans="1:18" ht="33.75" customHeight="1">
      <c r="A193" s="36">
        <v>89</v>
      </c>
      <c r="B193" s="58" t="s">
        <v>348</v>
      </c>
      <c r="C193" s="3"/>
      <c r="D193" s="3"/>
      <c r="E193" s="2" t="s">
        <v>224</v>
      </c>
      <c r="F193" s="3">
        <v>213</v>
      </c>
      <c r="G193" s="15">
        <v>26.4804</v>
      </c>
      <c r="H193" s="15"/>
      <c r="I193" s="15">
        <v>-26.4804</v>
      </c>
      <c r="J193" s="15"/>
      <c r="K193" s="5" t="s">
        <v>58</v>
      </c>
      <c r="L193" s="5" t="s">
        <v>347</v>
      </c>
      <c r="M193" s="5" t="s">
        <v>22</v>
      </c>
      <c r="N193" s="15">
        <f>283123.57+6290.6371-4.5+482.8+5150</f>
        <v>295042.5071</v>
      </c>
      <c r="O193" s="15">
        <f>3674</f>
        <v>3674</v>
      </c>
      <c r="P193" s="88">
        <f>283123.57+6290.6371-4.5+482.8+5150+3674-5150-54-72-416-6350+21.7-838.8</f>
        <v>285857.4071</v>
      </c>
      <c r="Q193" s="93">
        <v>276902.01476</v>
      </c>
      <c r="R193" s="89">
        <f>P193-Q193</f>
        <v>8955.39234</v>
      </c>
    </row>
    <row r="194" spans="1:18" ht="17.25" customHeight="1">
      <c r="A194" s="36">
        <v>90</v>
      </c>
      <c r="B194" s="6" t="s">
        <v>9</v>
      </c>
      <c r="C194" s="3">
        <f>C195+C201+C202+C204+C205</f>
        <v>347455</v>
      </c>
      <c r="D194" s="3">
        <f>D195+D201+D202+D204+D205</f>
        <v>377704</v>
      </c>
      <c r="E194" s="3"/>
      <c r="F194" s="3"/>
      <c r="G194" s="15">
        <f>G195+G201+G202+G203+G204+G205+G206+G207+G208+G209</f>
        <v>404325.62412</v>
      </c>
      <c r="H194" s="15">
        <f>H195+H201+H202+H203+H204+H205+H206+H207+H208+H209</f>
        <v>0</v>
      </c>
      <c r="I194" s="15">
        <f>I195+I201+I202+I203+I204+I205+I206+I207+I208+I209</f>
        <v>-440.243</v>
      </c>
      <c r="J194" s="15">
        <f>J195+J201+J202+J203+J204+J205+J206+J207+J208+J209</f>
        <v>5397.2</v>
      </c>
      <c r="K194" s="5" t="s">
        <v>59</v>
      </c>
      <c r="L194" s="5"/>
      <c r="M194" s="5"/>
      <c r="N194" s="15">
        <f>N208+N211+N213+N216</f>
        <v>438310.68532</v>
      </c>
      <c r="O194" s="15">
        <f>O208+O211+O213+O216+O218</f>
        <v>5097.802</v>
      </c>
      <c r="P194" s="85">
        <f>P208+P211+P213+P216+P218</f>
        <v>444679.37072</v>
      </c>
      <c r="Q194" s="85">
        <f>Q208+Q211+Q213+Q216+Q218</f>
        <v>434107.44168</v>
      </c>
      <c r="R194" s="85">
        <f>R208+R211+R213+R216+R218</f>
        <v>10571.92904</v>
      </c>
    </row>
    <row r="195" spans="1:18" ht="31.5" customHeight="1" hidden="1">
      <c r="A195" s="36">
        <v>91</v>
      </c>
      <c r="B195" s="6" t="s">
        <v>28</v>
      </c>
      <c r="C195" s="3">
        <f>C196+C198+C199</f>
        <v>313391</v>
      </c>
      <c r="D195" s="3">
        <f>D196+D198+D199</f>
        <v>342443</v>
      </c>
      <c r="E195" s="3"/>
      <c r="F195" s="3"/>
      <c r="G195" s="15">
        <f>G196+G197+G198+G199+G200</f>
        <v>349954.8335</v>
      </c>
      <c r="H195" s="15">
        <f>H196+H197+H198+H199+H200</f>
        <v>0</v>
      </c>
      <c r="I195" s="15">
        <f>I196+I197+I198+I199+I200</f>
        <v>0</v>
      </c>
      <c r="J195" s="15">
        <f>J196+J197+J198+J199+J200</f>
        <v>4797.6</v>
      </c>
      <c r="K195" s="5" t="s">
        <v>59</v>
      </c>
      <c r="L195" s="5"/>
      <c r="M195" s="5"/>
      <c r="N195" s="15" t="e">
        <f>#REF!</f>
        <v>#REF!</v>
      </c>
      <c r="O195" s="15" t="e">
        <f>#REF!</f>
        <v>#REF!</v>
      </c>
      <c r="P195" s="85" t="e">
        <f>#REF!</f>
        <v>#REF!</v>
      </c>
      <c r="Q195" s="93"/>
      <c r="R195" s="93"/>
    </row>
    <row r="196" spans="1:18" ht="30" customHeight="1" hidden="1">
      <c r="A196" s="36"/>
      <c r="B196" s="6" t="s">
        <v>10</v>
      </c>
      <c r="C196" s="3">
        <v>229922</v>
      </c>
      <c r="D196" s="3">
        <v>237410</v>
      </c>
      <c r="E196" s="3" t="s">
        <v>153</v>
      </c>
      <c r="F196" s="3" t="s">
        <v>22</v>
      </c>
      <c r="G196" s="15">
        <v>252013.0835</v>
      </c>
      <c r="H196" s="15"/>
      <c r="I196" s="15"/>
      <c r="J196" s="15">
        <v>4359.6</v>
      </c>
      <c r="K196" s="5" t="s">
        <v>59</v>
      </c>
      <c r="L196" s="5"/>
      <c r="M196" s="5"/>
      <c r="N196" s="15" t="e">
        <f>#REF!</f>
        <v>#REF!</v>
      </c>
      <c r="O196" s="15" t="e">
        <f>#REF!</f>
        <v>#REF!</v>
      </c>
      <c r="P196" s="85" t="e">
        <f>#REF!</f>
        <v>#REF!</v>
      </c>
      <c r="Q196" s="93"/>
      <c r="R196" s="93"/>
    </row>
    <row r="197" spans="1:18" ht="33" customHeight="1" hidden="1">
      <c r="A197" s="36"/>
      <c r="B197" s="6" t="s">
        <v>231</v>
      </c>
      <c r="C197" s="3"/>
      <c r="D197" s="3"/>
      <c r="E197" s="3" t="s">
        <v>153</v>
      </c>
      <c r="F197" s="3">
        <v>810</v>
      </c>
      <c r="G197" s="15">
        <v>572.55</v>
      </c>
      <c r="H197" s="15"/>
      <c r="I197" s="15"/>
      <c r="J197" s="15"/>
      <c r="K197" s="5" t="s">
        <v>59</v>
      </c>
      <c r="L197" s="5"/>
      <c r="M197" s="5"/>
      <c r="N197" s="15" t="e">
        <f>#REF!</f>
        <v>#REF!</v>
      </c>
      <c r="O197" s="15" t="e">
        <f>#REF!</f>
        <v>#REF!</v>
      </c>
      <c r="P197" s="85" t="e">
        <f>#REF!</f>
        <v>#REF!</v>
      </c>
      <c r="Q197" s="93"/>
      <c r="R197" s="93"/>
    </row>
    <row r="198" spans="1:18" ht="31.5" customHeight="1" hidden="1">
      <c r="A198" s="36"/>
      <c r="B198" s="6" t="s">
        <v>11</v>
      </c>
      <c r="C198" s="3">
        <v>28073</v>
      </c>
      <c r="D198" s="3">
        <v>31113</v>
      </c>
      <c r="E198" s="3" t="s">
        <v>154</v>
      </c>
      <c r="F198" s="3" t="s">
        <v>22</v>
      </c>
      <c r="G198" s="15">
        <v>32040</v>
      </c>
      <c r="H198" s="15"/>
      <c r="I198" s="15"/>
      <c r="J198" s="15">
        <v>325.6</v>
      </c>
      <c r="K198" s="5" t="s">
        <v>59</v>
      </c>
      <c r="L198" s="5"/>
      <c r="M198" s="5"/>
      <c r="N198" s="15" t="e">
        <f>#REF!</f>
        <v>#REF!</v>
      </c>
      <c r="O198" s="15" t="e">
        <f>#REF!</f>
        <v>#REF!</v>
      </c>
      <c r="P198" s="85" t="e">
        <f>#REF!</f>
        <v>#REF!</v>
      </c>
      <c r="Q198" s="93"/>
      <c r="R198" s="93"/>
    </row>
    <row r="199" spans="1:18" ht="33" customHeight="1" hidden="1">
      <c r="A199" s="36"/>
      <c r="B199" s="6" t="s">
        <v>12</v>
      </c>
      <c r="C199" s="3">
        <v>55396</v>
      </c>
      <c r="D199" s="3">
        <v>73920</v>
      </c>
      <c r="E199" s="3" t="s">
        <v>155</v>
      </c>
      <c r="F199" s="3" t="s">
        <v>22</v>
      </c>
      <c r="G199" s="15">
        <v>62433</v>
      </c>
      <c r="H199" s="15"/>
      <c r="I199" s="15"/>
      <c r="J199" s="15">
        <v>112.4</v>
      </c>
      <c r="K199" s="5" t="s">
        <v>59</v>
      </c>
      <c r="L199" s="5"/>
      <c r="M199" s="5"/>
      <c r="N199" s="15" t="e">
        <f>#REF!</f>
        <v>#REF!</v>
      </c>
      <c r="O199" s="15" t="e">
        <f>#REF!</f>
        <v>#REF!</v>
      </c>
      <c r="P199" s="85" t="e">
        <f>#REF!</f>
        <v>#REF!</v>
      </c>
      <c r="Q199" s="93"/>
      <c r="R199" s="93"/>
    </row>
    <row r="200" spans="1:18" ht="42" customHeight="1" hidden="1">
      <c r="A200" s="36"/>
      <c r="B200" s="6" t="s">
        <v>231</v>
      </c>
      <c r="C200" s="3"/>
      <c r="D200" s="3"/>
      <c r="E200" s="3" t="s">
        <v>155</v>
      </c>
      <c r="F200" s="3">
        <v>810</v>
      </c>
      <c r="G200" s="15">
        <v>2896.2</v>
      </c>
      <c r="H200" s="15"/>
      <c r="I200" s="15"/>
      <c r="J200" s="15"/>
      <c r="K200" s="5" t="s">
        <v>59</v>
      </c>
      <c r="L200" s="5"/>
      <c r="M200" s="5"/>
      <c r="N200" s="15" t="e">
        <f>#REF!</f>
        <v>#REF!</v>
      </c>
      <c r="O200" s="15" t="e">
        <f>#REF!</f>
        <v>#REF!</v>
      </c>
      <c r="P200" s="85" t="e">
        <f>#REF!</f>
        <v>#REF!</v>
      </c>
      <c r="Q200" s="93"/>
      <c r="R200" s="93"/>
    </row>
    <row r="201" spans="1:18" ht="21" customHeight="1" hidden="1">
      <c r="A201" s="36"/>
      <c r="B201" s="6" t="s">
        <v>33</v>
      </c>
      <c r="C201" s="3">
        <v>2051</v>
      </c>
      <c r="D201" s="3">
        <v>2458</v>
      </c>
      <c r="E201" s="3" t="s">
        <v>155</v>
      </c>
      <c r="F201" s="3" t="s">
        <v>22</v>
      </c>
      <c r="G201" s="15">
        <v>2511</v>
      </c>
      <c r="H201" s="15"/>
      <c r="I201" s="15"/>
      <c r="J201" s="15">
        <v>49.3</v>
      </c>
      <c r="K201" s="5" t="s">
        <v>59</v>
      </c>
      <c r="L201" s="5"/>
      <c r="M201" s="5"/>
      <c r="N201" s="15" t="e">
        <f>#REF!</f>
        <v>#REF!</v>
      </c>
      <c r="O201" s="15" t="e">
        <f>#REF!</f>
        <v>#REF!</v>
      </c>
      <c r="P201" s="85" t="e">
        <f>#REF!</f>
        <v>#REF!</v>
      </c>
      <c r="Q201" s="93"/>
      <c r="R201" s="93"/>
    </row>
    <row r="202" spans="1:18" ht="19.5" customHeight="1" hidden="1">
      <c r="A202" s="36"/>
      <c r="B202" s="59" t="s">
        <v>61</v>
      </c>
      <c r="C202" s="3">
        <v>4476</v>
      </c>
      <c r="D202" s="3">
        <v>4704</v>
      </c>
      <c r="E202" s="3" t="s">
        <v>155</v>
      </c>
      <c r="F202" s="3" t="s">
        <v>22</v>
      </c>
      <c r="G202" s="15">
        <v>5752</v>
      </c>
      <c r="H202" s="15"/>
      <c r="I202" s="15"/>
      <c r="J202" s="15">
        <v>65.4</v>
      </c>
      <c r="K202" s="5" t="s">
        <v>59</v>
      </c>
      <c r="L202" s="5"/>
      <c r="M202" s="5"/>
      <c r="N202" s="15" t="e">
        <f>#REF!</f>
        <v>#REF!</v>
      </c>
      <c r="O202" s="15" t="e">
        <f>#REF!</f>
        <v>#REF!</v>
      </c>
      <c r="P202" s="85" t="e">
        <f>#REF!</f>
        <v>#REF!</v>
      </c>
      <c r="Q202" s="93"/>
      <c r="R202" s="93"/>
    </row>
    <row r="203" spans="1:18" ht="19.5" customHeight="1" hidden="1">
      <c r="A203" s="36"/>
      <c r="B203" s="59" t="s">
        <v>61</v>
      </c>
      <c r="C203" s="3">
        <v>4476</v>
      </c>
      <c r="D203" s="3">
        <v>4704</v>
      </c>
      <c r="E203" s="3" t="s">
        <v>155</v>
      </c>
      <c r="F203" s="3">
        <v>810</v>
      </c>
      <c r="G203" s="15">
        <v>117</v>
      </c>
      <c r="H203" s="15"/>
      <c r="I203" s="15"/>
      <c r="J203" s="15"/>
      <c r="K203" s="5" t="s">
        <v>59</v>
      </c>
      <c r="L203" s="5"/>
      <c r="M203" s="5"/>
      <c r="N203" s="15" t="e">
        <f>#REF!</f>
        <v>#REF!</v>
      </c>
      <c r="O203" s="15" t="e">
        <f>#REF!</f>
        <v>#REF!</v>
      </c>
      <c r="P203" s="85" t="e">
        <f>#REF!</f>
        <v>#REF!</v>
      </c>
      <c r="Q203" s="93"/>
      <c r="R203" s="93"/>
    </row>
    <row r="204" spans="1:18" ht="21" customHeight="1" hidden="1">
      <c r="A204" s="36"/>
      <c r="B204" s="59" t="s">
        <v>60</v>
      </c>
      <c r="C204" s="3">
        <v>13746</v>
      </c>
      <c r="D204" s="3">
        <v>13977</v>
      </c>
      <c r="E204" s="3" t="s">
        <v>155</v>
      </c>
      <c r="F204" s="3" t="s">
        <v>22</v>
      </c>
      <c r="G204" s="15">
        <v>17082</v>
      </c>
      <c r="H204" s="15"/>
      <c r="I204" s="15"/>
      <c r="J204" s="15">
        <v>484.9</v>
      </c>
      <c r="K204" s="5" t="s">
        <v>59</v>
      </c>
      <c r="L204" s="5"/>
      <c r="M204" s="5"/>
      <c r="N204" s="15" t="e">
        <f>#REF!</f>
        <v>#REF!</v>
      </c>
      <c r="O204" s="15" t="e">
        <f>#REF!</f>
        <v>#REF!</v>
      </c>
      <c r="P204" s="85" t="e">
        <f>#REF!</f>
        <v>#REF!</v>
      </c>
      <c r="Q204" s="93"/>
      <c r="R204" s="93"/>
    </row>
    <row r="205" spans="1:18" ht="21" customHeight="1" hidden="1">
      <c r="A205" s="36"/>
      <c r="B205" s="6" t="s">
        <v>15</v>
      </c>
      <c r="C205" s="3">
        <v>13791</v>
      </c>
      <c r="D205" s="3">
        <v>14122</v>
      </c>
      <c r="E205" s="3" t="s">
        <v>156</v>
      </c>
      <c r="F205" s="3" t="s">
        <v>22</v>
      </c>
      <c r="G205" s="3">
        <v>15107</v>
      </c>
      <c r="H205" s="3"/>
      <c r="I205" s="3"/>
      <c r="J205" s="3"/>
      <c r="K205" s="5" t="s">
        <v>59</v>
      </c>
      <c r="L205" s="5"/>
      <c r="M205" s="5"/>
      <c r="N205" s="15" t="e">
        <f>#REF!</f>
        <v>#REF!</v>
      </c>
      <c r="O205" s="15" t="e">
        <f>#REF!</f>
        <v>#REF!</v>
      </c>
      <c r="P205" s="85" t="e">
        <f>#REF!</f>
        <v>#REF!</v>
      </c>
      <c r="Q205" s="93"/>
      <c r="R205" s="93"/>
    </row>
    <row r="206" spans="1:18" ht="39" customHeight="1" hidden="1">
      <c r="A206" s="36">
        <v>86</v>
      </c>
      <c r="B206" s="6" t="s">
        <v>142</v>
      </c>
      <c r="C206" s="3"/>
      <c r="D206" s="3"/>
      <c r="E206" s="3" t="s">
        <v>153</v>
      </c>
      <c r="F206" s="3" t="s">
        <v>22</v>
      </c>
      <c r="G206" s="15">
        <v>12558.69162</v>
      </c>
      <c r="H206" s="15"/>
      <c r="I206" s="15">
        <v>400</v>
      </c>
      <c r="J206" s="15"/>
      <c r="K206" s="5" t="s">
        <v>59</v>
      </c>
      <c r="L206" s="5"/>
      <c r="M206" s="5"/>
      <c r="N206" s="15" t="e">
        <f>#REF!</f>
        <v>#REF!</v>
      </c>
      <c r="O206" s="15" t="e">
        <f>#REF!</f>
        <v>#REF!</v>
      </c>
      <c r="P206" s="85" t="e">
        <f>#REF!</f>
        <v>#REF!</v>
      </c>
      <c r="Q206" s="93"/>
      <c r="R206" s="93"/>
    </row>
    <row r="207" spans="1:18" ht="21" customHeight="1" hidden="1">
      <c r="A207" s="36">
        <v>92</v>
      </c>
      <c r="B207" s="6" t="s">
        <v>141</v>
      </c>
      <c r="C207" s="3"/>
      <c r="D207" s="3"/>
      <c r="E207" s="3" t="s">
        <v>155</v>
      </c>
      <c r="F207" s="3" t="s">
        <v>22</v>
      </c>
      <c r="G207" s="15">
        <v>391.996</v>
      </c>
      <c r="H207" s="15"/>
      <c r="I207" s="15"/>
      <c r="J207" s="15"/>
      <c r="K207" s="5" t="s">
        <v>59</v>
      </c>
      <c r="L207" s="5"/>
      <c r="M207" s="5"/>
      <c r="N207" s="15" t="e">
        <f>#REF!</f>
        <v>#REF!</v>
      </c>
      <c r="O207" s="15" t="e">
        <f>#REF!</f>
        <v>#REF!</v>
      </c>
      <c r="P207" s="85" t="e">
        <f>#REF!</f>
        <v>#REF!</v>
      </c>
      <c r="Q207" s="93"/>
      <c r="R207" s="93"/>
    </row>
    <row r="208" spans="1:18" ht="31.5">
      <c r="A208" s="36">
        <v>91</v>
      </c>
      <c r="B208" s="60" t="s">
        <v>350</v>
      </c>
      <c r="C208" s="3"/>
      <c r="D208" s="3"/>
      <c r="E208" s="3" t="s">
        <v>156</v>
      </c>
      <c r="F208" s="3" t="s">
        <v>22</v>
      </c>
      <c r="G208" s="15">
        <v>10.86</v>
      </c>
      <c r="H208" s="15"/>
      <c r="I208" s="15"/>
      <c r="J208" s="15"/>
      <c r="K208" s="5" t="s">
        <v>59</v>
      </c>
      <c r="L208" s="5" t="s">
        <v>349</v>
      </c>
      <c r="M208" s="5"/>
      <c r="N208" s="15">
        <f>N209+N210</f>
        <v>287902.41432</v>
      </c>
      <c r="O208" s="15">
        <f>O209+O210</f>
        <v>160.202</v>
      </c>
      <c r="P208" s="85">
        <f>P209+P210</f>
        <v>289976.20872</v>
      </c>
      <c r="Q208" s="85">
        <f>Q209+Q210</f>
        <v>284709.9104</v>
      </c>
      <c r="R208" s="85">
        <f>R209+R210</f>
        <v>5266.29832</v>
      </c>
    </row>
    <row r="209" spans="1:18" ht="31.5">
      <c r="A209" s="36">
        <v>92</v>
      </c>
      <c r="B209" s="58" t="s">
        <v>348</v>
      </c>
      <c r="C209" s="3"/>
      <c r="D209" s="3"/>
      <c r="E209" s="3" t="s">
        <v>250</v>
      </c>
      <c r="F209" s="3">
        <v>327</v>
      </c>
      <c r="G209" s="15">
        <v>840.243</v>
      </c>
      <c r="H209" s="15"/>
      <c r="I209" s="15">
        <v>-840.243</v>
      </c>
      <c r="J209" s="15"/>
      <c r="K209" s="5" t="s">
        <v>59</v>
      </c>
      <c r="L209" s="5" t="s">
        <v>349</v>
      </c>
      <c r="M209" s="5" t="s">
        <v>22</v>
      </c>
      <c r="N209" s="15">
        <f>267325.8+12000+2004+3781.4+256.71432+1591</f>
        <v>286958.91432</v>
      </c>
      <c r="O209" s="15">
        <v>147.202</v>
      </c>
      <c r="P209" s="85">
        <f>267325.8+12000+2004+3781.4+256.71432+1591+147.202+95.785+3.1+1703.4524-7.5+3241.9-168.2-4340.9+838.8+647.155</f>
        <v>289119.70872</v>
      </c>
      <c r="Q209" s="93">
        <v>284148.34647</v>
      </c>
      <c r="R209" s="89">
        <f>P209-Q209</f>
        <v>4971.36225</v>
      </c>
    </row>
    <row r="210" spans="1:18" ht="31.5">
      <c r="A210" s="36">
        <v>93</v>
      </c>
      <c r="B210" s="61" t="s">
        <v>352</v>
      </c>
      <c r="C210" s="3"/>
      <c r="D210" s="3"/>
      <c r="E210" s="3"/>
      <c r="F210" s="3"/>
      <c r="G210" s="15"/>
      <c r="H210" s="15"/>
      <c r="I210" s="15"/>
      <c r="J210" s="15"/>
      <c r="K210" s="5" t="s">
        <v>59</v>
      </c>
      <c r="L210" s="5" t="s">
        <v>349</v>
      </c>
      <c r="M210" s="5" t="s">
        <v>351</v>
      </c>
      <c r="N210" s="15">
        <v>943.5</v>
      </c>
      <c r="O210" s="15">
        <v>13</v>
      </c>
      <c r="P210" s="85">
        <f>943.5+13-100</f>
        <v>856.5</v>
      </c>
      <c r="Q210" s="93">
        <v>561.56393</v>
      </c>
      <c r="R210" s="89">
        <f>P210-Q210</f>
        <v>294.93607</v>
      </c>
    </row>
    <row r="211" spans="1:18" ht="15.75">
      <c r="A211" s="36">
        <v>94</v>
      </c>
      <c r="B211" s="48" t="s">
        <v>354</v>
      </c>
      <c r="C211" s="3"/>
      <c r="D211" s="3"/>
      <c r="E211" s="3"/>
      <c r="F211" s="3"/>
      <c r="G211" s="15"/>
      <c r="H211" s="15"/>
      <c r="I211" s="15"/>
      <c r="J211" s="15"/>
      <c r="K211" s="5" t="s">
        <v>59</v>
      </c>
      <c r="L211" s="5" t="s">
        <v>353</v>
      </c>
      <c r="M211" s="5"/>
      <c r="N211" s="15">
        <f>N212</f>
        <v>11457</v>
      </c>
      <c r="O211" s="15">
        <f>O212</f>
        <v>-300</v>
      </c>
      <c r="P211" s="85">
        <f>P212</f>
        <v>11016.21</v>
      </c>
      <c r="Q211" s="85">
        <f>Q212</f>
        <v>9803.33189</v>
      </c>
      <c r="R211" s="85">
        <f>R212</f>
        <v>1212.87811</v>
      </c>
    </row>
    <row r="212" spans="1:18" ht="31.5">
      <c r="A212" s="36">
        <v>95</v>
      </c>
      <c r="B212" s="58" t="s">
        <v>348</v>
      </c>
      <c r="C212" s="3"/>
      <c r="D212" s="3"/>
      <c r="E212" s="3"/>
      <c r="F212" s="3"/>
      <c r="G212" s="15"/>
      <c r="H212" s="15"/>
      <c r="I212" s="15"/>
      <c r="J212" s="15"/>
      <c r="K212" s="5" t="s">
        <v>59</v>
      </c>
      <c r="L212" s="5" t="s">
        <v>353</v>
      </c>
      <c r="M212" s="5" t="s">
        <v>22</v>
      </c>
      <c r="N212" s="15">
        <f>11305.5+151.5</f>
        <v>11457</v>
      </c>
      <c r="O212" s="15">
        <v>-300</v>
      </c>
      <c r="P212" s="85">
        <f>11305.5+151.5-300-140.79</f>
        <v>11016.21</v>
      </c>
      <c r="Q212" s="93">
        <v>9803.33189</v>
      </c>
      <c r="R212" s="89">
        <f>P212-Q212</f>
        <v>1212.87811</v>
      </c>
    </row>
    <row r="213" spans="1:18" ht="15.75">
      <c r="A213" s="36">
        <v>96</v>
      </c>
      <c r="B213" s="51" t="s">
        <v>356</v>
      </c>
      <c r="C213" s="3"/>
      <c r="D213" s="3"/>
      <c r="E213" s="3"/>
      <c r="F213" s="3"/>
      <c r="G213" s="15"/>
      <c r="H213" s="15"/>
      <c r="I213" s="15"/>
      <c r="J213" s="15"/>
      <c r="K213" s="5" t="s">
        <v>59</v>
      </c>
      <c r="L213" s="5" t="s">
        <v>355</v>
      </c>
      <c r="M213" s="5"/>
      <c r="N213" s="15">
        <f>N214+N215</f>
        <v>125444.446</v>
      </c>
      <c r="O213" s="15">
        <f>O214+O215</f>
        <v>10</v>
      </c>
      <c r="P213" s="85">
        <f>P214+P215</f>
        <v>124364.211</v>
      </c>
      <c r="Q213" s="85">
        <f>Q214+Q215</f>
        <v>120316.62628</v>
      </c>
      <c r="R213" s="85">
        <f>R214+R215</f>
        <v>4047.58472</v>
      </c>
    </row>
    <row r="214" spans="1:20" ht="31.5">
      <c r="A214" s="36">
        <v>97</v>
      </c>
      <c r="B214" s="58" t="s">
        <v>348</v>
      </c>
      <c r="C214" s="3"/>
      <c r="D214" s="3"/>
      <c r="E214" s="3"/>
      <c r="F214" s="3"/>
      <c r="G214" s="15"/>
      <c r="H214" s="15"/>
      <c r="I214" s="15"/>
      <c r="J214" s="15"/>
      <c r="K214" s="5" t="s">
        <v>59</v>
      </c>
      <c r="L214" s="5" t="s">
        <v>355</v>
      </c>
      <c r="M214" s="5" t="s">
        <v>22</v>
      </c>
      <c r="N214" s="15">
        <f>110317.5+180.565</f>
        <v>110498.065</v>
      </c>
      <c r="O214" s="15"/>
      <c r="P214" s="85">
        <f>110317.5+180.565+911.8+400+96.7+339.4-1.5+416-3330.635+48+3134.835</f>
        <v>112512.665</v>
      </c>
      <c r="Q214" s="93">
        <v>110465.87003</v>
      </c>
      <c r="R214" s="89">
        <f>P214-Q214</f>
        <v>2046.79497</v>
      </c>
      <c r="T214" s="94"/>
    </row>
    <row r="215" spans="1:18" ht="31.5">
      <c r="A215" s="36">
        <v>98</v>
      </c>
      <c r="B215" s="61" t="s">
        <v>352</v>
      </c>
      <c r="C215" s="3"/>
      <c r="D215" s="3"/>
      <c r="E215" s="3"/>
      <c r="F215" s="3"/>
      <c r="G215" s="15"/>
      <c r="H215" s="15"/>
      <c r="I215" s="15"/>
      <c r="J215" s="15"/>
      <c r="K215" s="5" t="s">
        <v>59</v>
      </c>
      <c r="L215" s="5" t="s">
        <v>355</v>
      </c>
      <c r="M215" s="5" t="s">
        <v>351</v>
      </c>
      <c r="N215" s="15">
        <f>4714.5+176.581+10022.4+32.9</f>
        <v>14946.381</v>
      </c>
      <c r="O215" s="15">
        <f>10</f>
        <v>10</v>
      </c>
      <c r="P215" s="85">
        <f>4714.5+176.581+10022.4+32.9+10+30-3134.835</f>
        <v>11851.546</v>
      </c>
      <c r="Q215" s="93">
        <v>9850.75625</v>
      </c>
      <c r="R215" s="89">
        <f>P215-Q215</f>
        <v>2000.78975</v>
      </c>
    </row>
    <row r="216" spans="1:18" ht="15.75">
      <c r="A216" s="36">
        <v>99</v>
      </c>
      <c r="B216" s="48" t="s">
        <v>358</v>
      </c>
      <c r="C216" s="3"/>
      <c r="D216" s="3"/>
      <c r="E216" s="3"/>
      <c r="F216" s="3"/>
      <c r="G216" s="15"/>
      <c r="H216" s="15"/>
      <c r="I216" s="15"/>
      <c r="J216" s="15"/>
      <c r="K216" s="5" t="s">
        <v>59</v>
      </c>
      <c r="L216" s="5" t="s">
        <v>357</v>
      </c>
      <c r="M216" s="5"/>
      <c r="N216" s="15">
        <f>N217</f>
        <v>13506.825</v>
      </c>
      <c r="O216" s="15">
        <f>O217</f>
        <v>3227.6</v>
      </c>
      <c r="P216" s="85">
        <f>P217</f>
        <v>17322.741</v>
      </c>
      <c r="Q216" s="85">
        <f>Q217</f>
        <v>17277.57311</v>
      </c>
      <c r="R216" s="85">
        <f>R217</f>
        <v>45.16789</v>
      </c>
    </row>
    <row r="217" spans="1:18" ht="29.25" customHeight="1">
      <c r="A217" s="36">
        <v>100</v>
      </c>
      <c r="B217" s="58" t="s">
        <v>348</v>
      </c>
      <c r="C217" s="3"/>
      <c r="D217" s="3"/>
      <c r="E217" s="3"/>
      <c r="F217" s="3"/>
      <c r="G217" s="15"/>
      <c r="H217" s="15"/>
      <c r="I217" s="15"/>
      <c r="J217" s="15"/>
      <c r="K217" s="5" t="s">
        <v>59</v>
      </c>
      <c r="L217" s="5" t="s">
        <v>357</v>
      </c>
      <c r="M217" s="5" t="s">
        <v>22</v>
      </c>
      <c r="N217" s="15">
        <f>13338.7+168.125</f>
        <v>13506.825</v>
      </c>
      <c r="O217" s="15">
        <v>3227.6</v>
      </c>
      <c r="P217" s="85">
        <f>13338.7+168.125+3227.6+54+201.9+332.416</f>
        <v>17322.741</v>
      </c>
      <c r="Q217" s="93">
        <v>17277.57311</v>
      </c>
      <c r="R217" s="89">
        <f>P217-Q217</f>
        <v>45.16789</v>
      </c>
    </row>
    <row r="218" spans="1:18" ht="29.25" customHeight="1">
      <c r="A218" s="36">
        <v>101</v>
      </c>
      <c r="B218" s="61" t="s">
        <v>468</v>
      </c>
      <c r="C218" s="3"/>
      <c r="D218" s="3"/>
      <c r="E218" s="3"/>
      <c r="F218" s="3"/>
      <c r="G218" s="15"/>
      <c r="H218" s="15"/>
      <c r="I218" s="15"/>
      <c r="J218" s="15"/>
      <c r="K218" s="5" t="s">
        <v>59</v>
      </c>
      <c r="L218" s="5" t="s">
        <v>467</v>
      </c>
      <c r="M218" s="5"/>
      <c r="N218" s="15"/>
      <c r="O218" s="15">
        <f>O219</f>
        <v>2000</v>
      </c>
      <c r="P218" s="85">
        <f>P219</f>
        <v>2000</v>
      </c>
      <c r="Q218" s="85">
        <f>Q219</f>
        <v>2000</v>
      </c>
      <c r="R218" s="85">
        <f>R219</f>
        <v>0</v>
      </c>
    </row>
    <row r="219" spans="1:18" ht="54.75" customHeight="1">
      <c r="A219" s="36">
        <v>102</v>
      </c>
      <c r="B219" s="63" t="s">
        <v>469</v>
      </c>
      <c r="C219" s="3"/>
      <c r="D219" s="3"/>
      <c r="E219" s="3"/>
      <c r="F219" s="3"/>
      <c r="G219" s="15"/>
      <c r="H219" s="15"/>
      <c r="I219" s="15"/>
      <c r="J219" s="15"/>
      <c r="K219" s="5" t="s">
        <v>59</v>
      </c>
      <c r="L219" s="5" t="s">
        <v>467</v>
      </c>
      <c r="M219" s="5" t="s">
        <v>466</v>
      </c>
      <c r="N219" s="15">
        <v>0</v>
      </c>
      <c r="O219" s="15">
        <v>2000</v>
      </c>
      <c r="P219" s="85">
        <v>2000</v>
      </c>
      <c r="Q219" s="93">
        <v>2000</v>
      </c>
      <c r="R219" s="89">
        <f>P219-Q219</f>
        <v>0</v>
      </c>
    </row>
    <row r="220" spans="1:18" ht="23.25" customHeight="1">
      <c r="A220" s="36">
        <v>103</v>
      </c>
      <c r="B220" s="6" t="s">
        <v>63</v>
      </c>
      <c r="C220" s="3">
        <f>C221+C223</f>
        <v>12155</v>
      </c>
      <c r="D220" s="3">
        <f>D221+D223</f>
        <v>12224</v>
      </c>
      <c r="E220" s="3"/>
      <c r="F220" s="3"/>
      <c r="G220" s="15">
        <f>G221+G222+G223</f>
        <v>13640.06</v>
      </c>
      <c r="H220" s="15">
        <f>H221+H222+H223</f>
        <v>0</v>
      </c>
      <c r="I220" s="15">
        <f>I221+I222+I223</f>
        <v>0</v>
      </c>
      <c r="J220" s="15">
        <f>J221+J222+J223</f>
        <v>0</v>
      </c>
      <c r="K220" s="5" t="s">
        <v>62</v>
      </c>
      <c r="L220" s="5"/>
      <c r="M220" s="5"/>
      <c r="N220" s="15">
        <f>N221+N223</f>
        <v>15803.5</v>
      </c>
      <c r="O220" s="15">
        <f>O221+O223</f>
        <v>0</v>
      </c>
      <c r="P220" s="85">
        <f>P221+P223</f>
        <v>15593.5</v>
      </c>
      <c r="Q220" s="85">
        <f>Q221+Q223</f>
        <v>14756.01085</v>
      </c>
      <c r="R220" s="85">
        <f>R221+R223</f>
        <v>837.48915</v>
      </c>
    </row>
    <row r="221" spans="1:18" ht="31.5">
      <c r="A221" s="36">
        <v>104</v>
      </c>
      <c r="B221" s="60" t="s">
        <v>360</v>
      </c>
      <c r="C221" s="3">
        <v>10220</v>
      </c>
      <c r="D221" s="3">
        <v>12224</v>
      </c>
      <c r="E221" s="3" t="s">
        <v>152</v>
      </c>
      <c r="F221" s="3" t="s">
        <v>108</v>
      </c>
      <c r="G221" s="18">
        <v>13060.34</v>
      </c>
      <c r="H221" s="18"/>
      <c r="I221" s="18"/>
      <c r="J221" s="18"/>
      <c r="K221" s="5" t="s">
        <v>62</v>
      </c>
      <c r="L221" s="5" t="s">
        <v>359</v>
      </c>
      <c r="M221" s="5"/>
      <c r="N221" s="15">
        <f>N222</f>
        <v>13803.5</v>
      </c>
      <c r="O221" s="15">
        <f>O222</f>
        <v>0</v>
      </c>
      <c r="P221" s="85">
        <f>P222</f>
        <v>13803.5</v>
      </c>
      <c r="Q221" s="85">
        <f>Q222</f>
        <v>13080.20353</v>
      </c>
      <c r="R221" s="85">
        <f>R222</f>
        <v>723.29647</v>
      </c>
    </row>
    <row r="222" spans="1:18" ht="15.75">
      <c r="A222" s="36">
        <v>105</v>
      </c>
      <c r="B222" s="48" t="s">
        <v>361</v>
      </c>
      <c r="C222" s="3"/>
      <c r="D222" s="3"/>
      <c r="E222" s="3" t="s">
        <v>152</v>
      </c>
      <c r="F222" s="3" t="s">
        <v>108</v>
      </c>
      <c r="G222" s="18">
        <v>41.5</v>
      </c>
      <c r="H222" s="18"/>
      <c r="I222" s="18"/>
      <c r="J222" s="18"/>
      <c r="K222" s="5" t="s">
        <v>62</v>
      </c>
      <c r="L222" s="5" t="s">
        <v>359</v>
      </c>
      <c r="M222" s="5" t="s">
        <v>108</v>
      </c>
      <c r="N222" s="15">
        <v>13803.5</v>
      </c>
      <c r="O222" s="15"/>
      <c r="P222" s="85">
        <v>13803.5</v>
      </c>
      <c r="Q222" s="93">
        <v>13080.20353</v>
      </c>
      <c r="R222" s="89">
        <f>P222-Q222</f>
        <v>723.29647</v>
      </c>
    </row>
    <row r="223" spans="1:18" ht="18.75" customHeight="1">
      <c r="A223" s="36">
        <v>106</v>
      </c>
      <c r="B223" s="49" t="s">
        <v>439</v>
      </c>
      <c r="C223" s="3">
        <v>1935</v>
      </c>
      <c r="D223" s="3"/>
      <c r="E223" s="3" t="s">
        <v>215</v>
      </c>
      <c r="F223" s="3">
        <v>447</v>
      </c>
      <c r="G223" s="18">
        <v>538.22</v>
      </c>
      <c r="H223" s="18"/>
      <c r="I223" s="18"/>
      <c r="J223" s="18"/>
      <c r="K223" s="5" t="s">
        <v>62</v>
      </c>
      <c r="L223" s="5" t="s">
        <v>438</v>
      </c>
      <c r="M223" s="5"/>
      <c r="N223" s="15">
        <f>N224</f>
        <v>2000</v>
      </c>
      <c r="O223" s="15">
        <f>O224</f>
        <v>0</v>
      </c>
      <c r="P223" s="85">
        <f>P224</f>
        <v>1790</v>
      </c>
      <c r="Q223" s="85">
        <f>Q224</f>
        <v>1675.80732</v>
      </c>
      <c r="R223" s="85">
        <f>R224</f>
        <v>114.19268</v>
      </c>
    </row>
    <row r="224" spans="1:18" ht="20.25" customHeight="1">
      <c r="A224" s="36">
        <v>107</v>
      </c>
      <c r="B224" s="48" t="s">
        <v>364</v>
      </c>
      <c r="C224" s="3"/>
      <c r="D224" s="3"/>
      <c r="E224" s="3"/>
      <c r="F224" s="3"/>
      <c r="G224" s="18"/>
      <c r="H224" s="18"/>
      <c r="I224" s="18"/>
      <c r="J224" s="18"/>
      <c r="K224" s="5" t="s">
        <v>62</v>
      </c>
      <c r="L224" s="5" t="s">
        <v>438</v>
      </c>
      <c r="M224" s="5" t="s">
        <v>363</v>
      </c>
      <c r="N224" s="15">
        <v>2000</v>
      </c>
      <c r="O224" s="15"/>
      <c r="P224" s="85">
        <f>2000-210</f>
        <v>1790</v>
      </c>
      <c r="Q224" s="93">
        <v>1675.80732</v>
      </c>
      <c r="R224" s="89">
        <f>P224-Q224</f>
        <v>114.19268</v>
      </c>
    </row>
    <row r="225" spans="1:18" ht="18.75" customHeight="1">
      <c r="A225" s="36">
        <v>108</v>
      </c>
      <c r="B225" s="6" t="s">
        <v>65</v>
      </c>
      <c r="C225" s="3" t="e">
        <f>#REF!+#REF!+C227+#REF!</f>
        <v>#REF!</v>
      </c>
      <c r="D225" s="3" t="e">
        <f>#REF!+#REF!+D227+#REF!</f>
        <v>#REF!</v>
      </c>
      <c r="E225" s="3"/>
      <c r="F225" s="3"/>
      <c r="G225" s="15" t="e">
        <f>G226+G227+G228+G229+G232+G233+#REF!</f>
        <v>#REF!</v>
      </c>
      <c r="H225" s="15" t="e">
        <f>H226+H227+H228+H229+H232+H233+#REF!</f>
        <v>#REF!</v>
      </c>
      <c r="I225" s="15" t="e">
        <f>I226+I227+I228+I229+I232+I233+#REF!</f>
        <v>#REF!</v>
      </c>
      <c r="J225" s="15" t="e">
        <f>J226+J227+J228+J229+J232+J233+#REF!</f>
        <v>#REF!</v>
      </c>
      <c r="K225" s="5" t="s">
        <v>64</v>
      </c>
      <c r="L225" s="5"/>
      <c r="M225" s="5"/>
      <c r="N225" s="15">
        <f>N232+N230</f>
        <v>50133.4</v>
      </c>
      <c r="O225" s="15">
        <f>O232+O230</f>
        <v>222</v>
      </c>
      <c r="P225" s="85">
        <f>P232+P230</f>
        <v>51055.4</v>
      </c>
      <c r="Q225" s="85">
        <f>Q232+Q230</f>
        <v>48567.18584</v>
      </c>
      <c r="R225" s="85">
        <f>R232+R230</f>
        <v>2488.21416</v>
      </c>
    </row>
    <row r="226" spans="1:18" ht="0" customHeight="1" hidden="1">
      <c r="A226" s="36">
        <v>107</v>
      </c>
      <c r="B226" s="6" t="s">
        <v>266</v>
      </c>
      <c r="C226" s="3">
        <v>1935</v>
      </c>
      <c r="D226" s="3"/>
      <c r="E226" s="3" t="s">
        <v>267</v>
      </c>
      <c r="F226" s="3">
        <v>447</v>
      </c>
      <c r="G226" s="18">
        <v>115.8</v>
      </c>
      <c r="H226" s="18"/>
      <c r="I226" s="18"/>
      <c r="J226" s="18"/>
      <c r="K226" s="5" t="s">
        <v>64</v>
      </c>
      <c r="L226" s="5"/>
      <c r="M226" s="5"/>
      <c r="N226" s="15" t="e">
        <f>#REF!</f>
        <v>#REF!</v>
      </c>
      <c r="O226" s="15" t="e">
        <f>#REF!</f>
        <v>#REF!</v>
      </c>
      <c r="P226" s="85" t="e">
        <f>#REF!</f>
        <v>#REF!</v>
      </c>
      <c r="Q226" s="85" t="e">
        <f>#REF!</f>
        <v>#REF!</v>
      </c>
      <c r="R226" s="85" t="e">
        <f>#REF!</f>
        <v>#REF!</v>
      </c>
    </row>
    <row r="227" spans="1:18" ht="31.5" hidden="1">
      <c r="A227" s="36"/>
      <c r="B227" s="6" t="s">
        <v>110</v>
      </c>
      <c r="C227" s="3">
        <v>18943</v>
      </c>
      <c r="D227" s="3">
        <v>19693</v>
      </c>
      <c r="E227" s="3" t="s">
        <v>151</v>
      </c>
      <c r="F227" s="3" t="s">
        <v>22</v>
      </c>
      <c r="G227" s="15">
        <v>18979</v>
      </c>
      <c r="H227" s="15"/>
      <c r="I227" s="15"/>
      <c r="J227" s="15"/>
      <c r="K227" s="5" t="s">
        <v>64</v>
      </c>
      <c r="L227" s="5"/>
      <c r="M227" s="5"/>
      <c r="N227" s="15" t="e">
        <f>#REF!</f>
        <v>#REF!</v>
      </c>
      <c r="O227" s="15" t="e">
        <f>#REF!</f>
        <v>#REF!</v>
      </c>
      <c r="P227" s="85" t="e">
        <f>#REF!</f>
        <v>#REF!</v>
      </c>
      <c r="Q227" s="85" t="e">
        <f>#REF!</f>
        <v>#REF!</v>
      </c>
      <c r="R227" s="85" t="e">
        <f>#REF!</f>
        <v>#REF!</v>
      </c>
    </row>
    <row r="228" spans="1:18" ht="52.5" customHeight="1" hidden="1">
      <c r="A228" s="36">
        <v>102</v>
      </c>
      <c r="B228" s="6" t="s">
        <v>232</v>
      </c>
      <c r="C228" s="2"/>
      <c r="D228" s="2"/>
      <c r="E228" s="3" t="s">
        <v>151</v>
      </c>
      <c r="F228" s="2">
        <v>810</v>
      </c>
      <c r="G228" s="15">
        <v>265</v>
      </c>
      <c r="H228" s="15"/>
      <c r="I228" s="15"/>
      <c r="J228" s="15"/>
      <c r="K228" s="5" t="s">
        <v>64</v>
      </c>
      <c r="L228" s="5"/>
      <c r="M228" s="5"/>
      <c r="N228" s="15" t="e">
        <f>#REF!</f>
        <v>#REF!</v>
      </c>
      <c r="O228" s="15" t="e">
        <f>#REF!</f>
        <v>#REF!</v>
      </c>
      <c r="P228" s="85" t="e">
        <f>#REF!</f>
        <v>#REF!</v>
      </c>
      <c r="Q228" s="85" t="e">
        <f>#REF!</f>
        <v>#REF!</v>
      </c>
      <c r="R228" s="85" t="e">
        <f>#REF!</f>
        <v>#REF!</v>
      </c>
    </row>
    <row r="229" spans="1:18" ht="36" customHeight="1" hidden="1">
      <c r="A229" s="36">
        <v>108</v>
      </c>
      <c r="B229" s="6" t="s">
        <v>141</v>
      </c>
      <c r="C229" s="2"/>
      <c r="D229" s="2"/>
      <c r="E229" s="2" t="s">
        <v>151</v>
      </c>
      <c r="F229" s="2">
        <v>327</v>
      </c>
      <c r="G229" s="15">
        <v>27.665</v>
      </c>
      <c r="H229" s="15"/>
      <c r="I229" s="15"/>
      <c r="J229" s="15"/>
      <c r="K229" s="5" t="s">
        <v>64</v>
      </c>
      <c r="L229" s="5"/>
      <c r="M229" s="5"/>
      <c r="N229" s="15" t="e">
        <f>#REF!</f>
        <v>#REF!</v>
      </c>
      <c r="O229" s="15" t="e">
        <f>#REF!</f>
        <v>#REF!</v>
      </c>
      <c r="P229" s="85" t="e">
        <f>#REF!</f>
        <v>#REF!</v>
      </c>
      <c r="Q229" s="85" t="e">
        <f>#REF!</f>
        <v>#REF!</v>
      </c>
      <c r="R229" s="85" t="e">
        <f>#REF!</f>
        <v>#REF!</v>
      </c>
    </row>
    <row r="230" spans="1:18" ht="30.75" customHeight="1">
      <c r="A230" s="36">
        <v>109</v>
      </c>
      <c r="B230" s="9" t="s">
        <v>299</v>
      </c>
      <c r="C230" s="8"/>
      <c r="D230" s="8"/>
      <c r="E230" s="2"/>
      <c r="F230" s="7"/>
      <c r="G230" s="15"/>
      <c r="H230" s="15"/>
      <c r="I230" s="15"/>
      <c r="J230" s="15"/>
      <c r="K230" s="5" t="s">
        <v>64</v>
      </c>
      <c r="L230" s="5" t="s">
        <v>300</v>
      </c>
      <c r="M230" s="5"/>
      <c r="N230" s="15">
        <f>N231</f>
        <v>7318.1</v>
      </c>
      <c r="O230" s="15">
        <f>O231</f>
        <v>0</v>
      </c>
      <c r="P230" s="85">
        <f>P231</f>
        <v>6246.1</v>
      </c>
      <c r="Q230" s="85">
        <f>Q231</f>
        <v>6135.6523</v>
      </c>
      <c r="R230" s="85">
        <f>R231</f>
        <v>110.4477</v>
      </c>
    </row>
    <row r="231" spans="1:18" ht="24.75" customHeight="1">
      <c r="A231" s="36">
        <v>110</v>
      </c>
      <c r="B231" s="9" t="s">
        <v>301</v>
      </c>
      <c r="C231" s="2"/>
      <c r="D231" s="2"/>
      <c r="E231" s="2"/>
      <c r="F231" s="13"/>
      <c r="G231" s="15"/>
      <c r="H231" s="15"/>
      <c r="I231" s="15"/>
      <c r="J231" s="15"/>
      <c r="K231" s="5" t="s">
        <v>64</v>
      </c>
      <c r="L231" s="5" t="s">
        <v>300</v>
      </c>
      <c r="M231" s="5" t="s">
        <v>168</v>
      </c>
      <c r="N231" s="15">
        <v>7318.1</v>
      </c>
      <c r="O231" s="15"/>
      <c r="P231" s="85">
        <f>7318.1-1072</f>
        <v>6246.1</v>
      </c>
      <c r="Q231" s="93">
        <v>6135.6523</v>
      </c>
      <c r="R231" s="89">
        <f>P231-Q231</f>
        <v>110.4477</v>
      </c>
    </row>
    <row r="232" spans="1:18" ht="93" customHeight="1">
      <c r="A232" s="36">
        <v>111</v>
      </c>
      <c r="B232" s="47" t="s">
        <v>366</v>
      </c>
      <c r="C232" s="3"/>
      <c r="D232" s="3"/>
      <c r="E232" s="2" t="s">
        <v>224</v>
      </c>
      <c r="F232" s="3">
        <v>285</v>
      </c>
      <c r="G232" s="15">
        <v>0</v>
      </c>
      <c r="H232" s="15"/>
      <c r="I232" s="15">
        <f>26.4804+240</f>
        <v>266.4804</v>
      </c>
      <c r="J232" s="15"/>
      <c r="K232" s="5" t="s">
        <v>64</v>
      </c>
      <c r="L232" s="5" t="s">
        <v>365</v>
      </c>
      <c r="M232" s="5"/>
      <c r="N232" s="15">
        <f>N233+N234</f>
        <v>42815.3</v>
      </c>
      <c r="O232" s="15">
        <f>O233+O234</f>
        <v>222</v>
      </c>
      <c r="P232" s="85">
        <f>P233+P234</f>
        <v>44809.3</v>
      </c>
      <c r="Q232" s="85">
        <f>Q233+Q234</f>
        <v>42431.53354</v>
      </c>
      <c r="R232" s="85">
        <f>R233+R234</f>
        <v>2377.76646</v>
      </c>
    </row>
    <row r="233" spans="1:18" ht="31.5">
      <c r="A233" s="36">
        <v>112</v>
      </c>
      <c r="B233" s="58" t="s">
        <v>348</v>
      </c>
      <c r="C233" s="3"/>
      <c r="D233" s="3"/>
      <c r="E233" s="2" t="s">
        <v>245</v>
      </c>
      <c r="F233" s="3">
        <v>285</v>
      </c>
      <c r="G233" s="15">
        <v>0</v>
      </c>
      <c r="H233" s="15"/>
      <c r="I233" s="15">
        <v>3000</v>
      </c>
      <c r="J233" s="15"/>
      <c r="K233" s="5" t="s">
        <v>64</v>
      </c>
      <c r="L233" s="5" t="s">
        <v>365</v>
      </c>
      <c r="M233" s="5" t="s">
        <v>22</v>
      </c>
      <c r="N233" s="15">
        <f>42364.7+358.5+4.5</f>
        <v>42727.7</v>
      </c>
      <c r="O233" s="15"/>
      <c r="P233" s="85">
        <f>42364.7+358.5+4.5+437.9+138.6+1200-4.5</f>
        <v>44499.7</v>
      </c>
      <c r="Q233" s="93">
        <v>42227.32556</v>
      </c>
      <c r="R233" s="89">
        <f>P233-Q233</f>
        <v>2272.37444</v>
      </c>
    </row>
    <row r="234" spans="1:18" ht="31.5">
      <c r="A234" s="68">
        <v>113</v>
      </c>
      <c r="B234" s="61" t="s">
        <v>352</v>
      </c>
      <c r="C234" s="2"/>
      <c r="D234" s="2"/>
      <c r="E234" s="2"/>
      <c r="F234" s="2"/>
      <c r="G234" s="15"/>
      <c r="H234" s="15"/>
      <c r="I234" s="15"/>
      <c r="J234" s="15"/>
      <c r="K234" s="5" t="s">
        <v>64</v>
      </c>
      <c r="L234" s="5" t="s">
        <v>365</v>
      </c>
      <c r="M234" s="5" t="s">
        <v>351</v>
      </c>
      <c r="N234" s="15">
        <v>87.6</v>
      </c>
      <c r="O234" s="15">
        <v>222</v>
      </c>
      <c r="P234" s="85">
        <f>87.6+222</f>
        <v>309.6</v>
      </c>
      <c r="Q234" s="93">
        <v>204.20798</v>
      </c>
      <c r="R234" s="89">
        <f>P234-Q234</f>
        <v>105.39202</v>
      </c>
    </row>
    <row r="235" spans="1:18" ht="31.5">
      <c r="A235" s="71">
        <v>114</v>
      </c>
      <c r="B235" s="30" t="s">
        <v>67</v>
      </c>
      <c r="C235" s="31" t="e">
        <f>C236+#REF!+#REF!+#REF!</f>
        <v>#REF!</v>
      </c>
      <c r="D235" s="31" t="e">
        <f>D236+#REF!+#REF!+#REF!</f>
        <v>#REF!</v>
      </c>
      <c r="E235" s="31"/>
      <c r="F235" s="31"/>
      <c r="G235" s="28" t="e">
        <f>G236+#REF!+G270</f>
        <v>#REF!</v>
      </c>
      <c r="H235" s="28" t="e">
        <f>H236+#REF!+H270</f>
        <v>#REF!</v>
      </c>
      <c r="I235" s="28" t="e">
        <f>I236+#REF!+I270+#REF!</f>
        <v>#REF!</v>
      </c>
      <c r="J235" s="28" t="e">
        <f>J236+#REF!+J270</f>
        <v>#REF!</v>
      </c>
      <c r="K235" s="29" t="s">
        <v>66</v>
      </c>
      <c r="L235" s="29"/>
      <c r="M235" s="29"/>
      <c r="N235" s="28">
        <f>N236+N270</f>
        <v>109020.75727</v>
      </c>
      <c r="O235" s="28">
        <f>O236+O270</f>
        <v>2326</v>
      </c>
      <c r="P235" s="84">
        <f>P236+P270</f>
        <v>110338.90527</v>
      </c>
      <c r="Q235" s="84">
        <f>Q236+Q270</f>
        <v>104563.15063</v>
      </c>
      <c r="R235" s="84">
        <f>R236+R270</f>
        <v>5775.75464</v>
      </c>
    </row>
    <row r="236" spans="1:18" ht="15.75">
      <c r="A236" s="68">
        <v>115</v>
      </c>
      <c r="B236" s="6" t="s">
        <v>112</v>
      </c>
      <c r="C236" s="2">
        <f>SUM(C237:C252)</f>
        <v>107053</v>
      </c>
      <c r="D236" s="2">
        <f>SUM(D237:D252)</f>
        <v>118464</v>
      </c>
      <c r="E236" s="2"/>
      <c r="F236" s="2"/>
      <c r="G236" s="15">
        <f>G237+G238+G239+G240+G241+G242+G243+G244+G245+G246+G247+G248+G249+G250+G251+G252+G253+G254+G255+G256+G257+G258+G259+G260</f>
        <v>100114.71345</v>
      </c>
      <c r="H236" s="15">
        <f>H237+H238+H239+H240+H241+H242+H243+H244+H245+H246+H247+H248+H249+H250+H251+H252+H253+H254+H255+H256+H257+H258+H259+H260</f>
        <v>133.4</v>
      </c>
      <c r="I236" s="15">
        <f>I237+I238+I239+I240+I241+I242+I243+I244+I245+I246+I247+I248+I249+I250+I251+I252+I253+I254+I255+I256+I257+I258+I259+I260</f>
        <v>368.23306</v>
      </c>
      <c r="J236" s="15">
        <f>J237+J238+J239+J240+J241+J242+J243+J244+J245+J246+J247+J248+J249+J250+J251+J252+J253+J254+J255+J256+J257+J258+J259+J260</f>
        <v>1176.8</v>
      </c>
      <c r="K236" s="5" t="s">
        <v>111</v>
      </c>
      <c r="L236" s="5"/>
      <c r="M236" s="5"/>
      <c r="N236" s="15">
        <f>N258+N261+N264+N267</f>
        <v>105966.75727</v>
      </c>
      <c r="O236" s="15">
        <f>O258+O261+O264+O267</f>
        <v>2326</v>
      </c>
      <c r="P236" s="85">
        <f>P258+P261+P264+P267</f>
        <v>107284.90527</v>
      </c>
      <c r="Q236" s="85">
        <f>Q258+Q261+Q264+Q267</f>
        <v>101509.15063</v>
      </c>
      <c r="R236" s="85">
        <f>R258+R261+R264+R267</f>
        <v>5775.75464</v>
      </c>
    </row>
    <row r="237" spans="1:18" ht="21" customHeight="1" hidden="1">
      <c r="A237" s="68">
        <v>114</v>
      </c>
      <c r="B237" s="6" t="s">
        <v>16</v>
      </c>
      <c r="C237" s="3">
        <v>6636</v>
      </c>
      <c r="D237" s="3">
        <v>7047</v>
      </c>
      <c r="E237" s="3" t="s">
        <v>147</v>
      </c>
      <c r="F237" s="3" t="s">
        <v>22</v>
      </c>
      <c r="G237" s="14">
        <v>7857.5</v>
      </c>
      <c r="H237" s="14"/>
      <c r="I237" s="15">
        <v>80</v>
      </c>
      <c r="J237" s="14">
        <v>121.9</v>
      </c>
      <c r="K237" s="5" t="s">
        <v>111</v>
      </c>
      <c r="L237" s="5"/>
      <c r="M237" s="5"/>
      <c r="N237" s="15" t="e">
        <f>#REF!</f>
        <v>#REF!</v>
      </c>
      <c r="O237" s="15" t="e">
        <f>#REF!</f>
        <v>#REF!</v>
      </c>
      <c r="P237" s="85" t="e">
        <f>#REF!</f>
        <v>#REF!</v>
      </c>
      <c r="Q237" s="85" t="e">
        <f>#REF!</f>
        <v>#REF!</v>
      </c>
      <c r="R237" s="85" t="e">
        <f>#REF!</f>
        <v>#REF!</v>
      </c>
    </row>
    <row r="238" spans="1:18" ht="21" customHeight="1" hidden="1">
      <c r="A238" s="68"/>
      <c r="B238" s="6" t="s">
        <v>16</v>
      </c>
      <c r="C238" s="3">
        <v>6636</v>
      </c>
      <c r="D238" s="3">
        <v>7047</v>
      </c>
      <c r="E238" s="3" t="s">
        <v>147</v>
      </c>
      <c r="F238" s="3">
        <v>810</v>
      </c>
      <c r="G238" s="15">
        <v>872</v>
      </c>
      <c r="H238" s="15">
        <v>37.4</v>
      </c>
      <c r="I238" s="15"/>
      <c r="J238" s="15"/>
      <c r="K238" s="5" t="s">
        <v>111</v>
      </c>
      <c r="L238" s="5"/>
      <c r="M238" s="5"/>
      <c r="N238" s="15" t="e">
        <f>#REF!</f>
        <v>#REF!</v>
      </c>
      <c r="O238" s="15" t="e">
        <f>#REF!</f>
        <v>#REF!</v>
      </c>
      <c r="P238" s="85" t="e">
        <f>#REF!</f>
        <v>#REF!</v>
      </c>
      <c r="Q238" s="85" t="e">
        <f>#REF!</f>
        <v>#REF!</v>
      </c>
      <c r="R238" s="85" t="e">
        <f>#REF!</f>
        <v>#REF!</v>
      </c>
    </row>
    <row r="239" spans="1:18" ht="21" customHeight="1" hidden="1">
      <c r="A239" s="68"/>
      <c r="B239" s="6" t="s">
        <v>38</v>
      </c>
      <c r="C239" s="3">
        <v>2373</v>
      </c>
      <c r="D239" s="3">
        <v>3267</v>
      </c>
      <c r="E239" s="3" t="s">
        <v>147</v>
      </c>
      <c r="F239" s="3" t="s">
        <v>22</v>
      </c>
      <c r="G239" s="15">
        <v>2772.3</v>
      </c>
      <c r="H239" s="15"/>
      <c r="I239" s="15"/>
      <c r="J239" s="15">
        <v>57.5</v>
      </c>
      <c r="K239" s="5" t="s">
        <v>111</v>
      </c>
      <c r="L239" s="5"/>
      <c r="M239" s="5"/>
      <c r="N239" s="15" t="e">
        <f>#REF!</f>
        <v>#REF!</v>
      </c>
      <c r="O239" s="15" t="e">
        <f>#REF!</f>
        <v>#REF!</v>
      </c>
      <c r="P239" s="85" t="e">
        <f>#REF!</f>
        <v>#REF!</v>
      </c>
      <c r="Q239" s="85" t="e">
        <f>#REF!</f>
        <v>#REF!</v>
      </c>
      <c r="R239" s="85" t="e">
        <f>#REF!</f>
        <v>#REF!</v>
      </c>
    </row>
    <row r="240" spans="1:18" ht="21" customHeight="1" hidden="1">
      <c r="A240" s="68"/>
      <c r="B240" s="6" t="s">
        <v>38</v>
      </c>
      <c r="C240" s="3">
        <v>2373</v>
      </c>
      <c r="D240" s="3">
        <v>3267</v>
      </c>
      <c r="E240" s="3" t="s">
        <v>147</v>
      </c>
      <c r="F240" s="3">
        <v>810</v>
      </c>
      <c r="G240" s="15">
        <v>252</v>
      </c>
      <c r="H240" s="15"/>
      <c r="I240" s="15"/>
      <c r="J240" s="15"/>
      <c r="K240" s="5" t="s">
        <v>111</v>
      </c>
      <c r="L240" s="5"/>
      <c r="M240" s="5"/>
      <c r="N240" s="15" t="e">
        <f>#REF!</f>
        <v>#REF!</v>
      </c>
      <c r="O240" s="15" t="e">
        <f>#REF!</f>
        <v>#REF!</v>
      </c>
      <c r="P240" s="85" t="e">
        <f>#REF!</f>
        <v>#REF!</v>
      </c>
      <c r="Q240" s="85" t="e">
        <f>#REF!</f>
        <v>#REF!</v>
      </c>
      <c r="R240" s="85" t="e">
        <f>#REF!</f>
        <v>#REF!</v>
      </c>
    </row>
    <row r="241" spans="1:18" ht="24" customHeight="1" hidden="1">
      <c r="A241" s="68"/>
      <c r="B241" s="6" t="s">
        <v>31</v>
      </c>
      <c r="C241" s="3">
        <v>4298</v>
      </c>
      <c r="D241" s="3">
        <v>5029</v>
      </c>
      <c r="E241" s="3" t="s">
        <v>150</v>
      </c>
      <c r="F241" s="3" t="s">
        <v>22</v>
      </c>
      <c r="G241" s="25">
        <v>4784</v>
      </c>
      <c r="H241" s="3"/>
      <c r="I241" s="3"/>
      <c r="J241" s="17">
        <v>114.2</v>
      </c>
      <c r="K241" s="5" t="s">
        <v>111</v>
      </c>
      <c r="L241" s="5"/>
      <c r="M241" s="5"/>
      <c r="N241" s="15" t="e">
        <f>#REF!</f>
        <v>#REF!</v>
      </c>
      <c r="O241" s="15" t="e">
        <f>#REF!</f>
        <v>#REF!</v>
      </c>
      <c r="P241" s="85" t="e">
        <f>#REF!</f>
        <v>#REF!</v>
      </c>
      <c r="Q241" s="85" t="e">
        <f>#REF!</f>
        <v>#REF!</v>
      </c>
      <c r="R241" s="85" t="e">
        <f>#REF!</f>
        <v>#REF!</v>
      </c>
    </row>
    <row r="242" spans="1:18" ht="24" customHeight="1" hidden="1">
      <c r="A242" s="68"/>
      <c r="B242" s="6" t="s">
        <v>31</v>
      </c>
      <c r="C242" s="3">
        <v>4298</v>
      </c>
      <c r="D242" s="3">
        <v>5029</v>
      </c>
      <c r="E242" s="3" t="s">
        <v>150</v>
      </c>
      <c r="F242" s="3">
        <v>810</v>
      </c>
      <c r="G242" s="25">
        <v>319</v>
      </c>
      <c r="H242" s="25">
        <v>96</v>
      </c>
      <c r="I242" s="3"/>
      <c r="J242" s="3"/>
      <c r="K242" s="5" t="s">
        <v>111</v>
      </c>
      <c r="L242" s="5"/>
      <c r="M242" s="5"/>
      <c r="N242" s="15" t="e">
        <f>#REF!</f>
        <v>#REF!</v>
      </c>
      <c r="O242" s="15" t="e">
        <f>#REF!</f>
        <v>#REF!</v>
      </c>
      <c r="P242" s="85" t="e">
        <f>#REF!</f>
        <v>#REF!</v>
      </c>
      <c r="Q242" s="85" t="e">
        <f>#REF!</f>
        <v>#REF!</v>
      </c>
      <c r="R242" s="85" t="e">
        <f>#REF!</f>
        <v>#REF!</v>
      </c>
    </row>
    <row r="243" spans="1:18" ht="21" customHeight="1" hidden="1">
      <c r="A243" s="68"/>
      <c r="B243" s="6" t="s">
        <v>17</v>
      </c>
      <c r="C243" s="3">
        <v>3625</v>
      </c>
      <c r="D243" s="3">
        <v>4039</v>
      </c>
      <c r="E243" s="3" t="s">
        <v>149</v>
      </c>
      <c r="F243" s="3" t="s">
        <v>22</v>
      </c>
      <c r="G243" s="15">
        <v>4719</v>
      </c>
      <c r="H243" s="15"/>
      <c r="I243" s="15">
        <v>35</v>
      </c>
      <c r="J243" s="15">
        <v>51.1</v>
      </c>
      <c r="K243" s="5" t="s">
        <v>111</v>
      </c>
      <c r="L243" s="5"/>
      <c r="M243" s="5"/>
      <c r="N243" s="15" t="e">
        <f>#REF!</f>
        <v>#REF!</v>
      </c>
      <c r="O243" s="15" t="e">
        <f>#REF!</f>
        <v>#REF!</v>
      </c>
      <c r="P243" s="85" t="e">
        <f>#REF!</f>
        <v>#REF!</v>
      </c>
      <c r="Q243" s="85" t="e">
        <f>#REF!</f>
        <v>#REF!</v>
      </c>
      <c r="R243" s="85" t="e">
        <f>#REF!</f>
        <v>#REF!</v>
      </c>
    </row>
    <row r="244" spans="1:18" ht="21" customHeight="1" hidden="1">
      <c r="A244" s="68"/>
      <c r="B244" s="6" t="s">
        <v>17</v>
      </c>
      <c r="C244" s="3">
        <v>3625</v>
      </c>
      <c r="D244" s="3">
        <v>4039</v>
      </c>
      <c r="E244" s="3" t="s">
        <v>149</v>
      </c>
      <c r="F244" s="3">
        <v>810</v>
      </c>
      <c r="G244" s="15">
        <v>561.84</v>
      </c>
      <c r="H244" s="15"/>
      <c r="I244" s="15"/>
      <c r="J244" s="15"/>
      <c r="K244" s="5" t="s">
        <v>111</v>
      </c>
      <c r="L244" s="5"/>
      <c r="M244" s="5"/>
      <c r="N244" s="15" t="e">
        <f>#REF!</f>
        <v>#REF!</v>
      </c>
      <c r="O244" s="15" t="e">
        <f>#REF!</f>
        <v>#REF!</v>
      </c>
      <c r="P244" s="85" t="e">
        <f>#REF!</f>
        <v>#REF!</v>
      </c>
      <c r="Q244" s="85" t="e">
        <f>#REF!</f>
        <v>#REF!</v>
      </c>
      <c r="R244" s="85" t="e">
        <f>#REF!</f>
        <v>#REF!</v>
      </c>
    </row>
    <row r="245" spans="1:18" ht="21.75" customHeight="1" hidden="1">
      <c r="A245" s="68"/>
      <c r="B245" s="6" t="s">
        <v>18</v>
      </c>
      <c r="C245" s="3">
        <v>11016</v>
      </c>
      <c r="D245" s="3">
        <v>11283</v>
      </c>
      <c r="E245" s="3" t="s">
        <v>149</v>
      </c>
      <c r="F245" s="3" t="s">
        <v>22</v>
      </c>
      <c r="G245" s="15">
        <v>12157</v>
      </c>
      <c r="H245" s="15"/>
      <c r="I245" s="15"/>
      <c r="J245" s="15">
        <v>401.4</v>
      </c>
      <c r="K245" s="5" t="s">
        <v>111</v>
      </c>
      <c r="L245" s="5"/>
      <c r="M245" s="5"/>
      <c r="N245" s="15" t="e">
        <f>#REF!</f>
        <v>#REF!</v>
      </c>
      <c r="O245" s="15" t="e">
        <f>#REF!</f>
        <v>#REF!</v>
      </c>
      <c r="P245" s="85" t="e">
        <f>#REF!</f>
        <v>#REF!</v>
      </c>
      <c r="Q245" s="85" t="e">
        <f>#REF!</f>
        <v>#REF!</v>
      </c>
      <c r="R245" s="85" t="e">
        <f>#REF!</f>
        <v>#REF!</v>
      </c>
    </row>
    <row r="246" spans="1:18" ht="21.75" customHeight="1" hidden="1">
      <c r="A246" s="68"/>
      <c r="B246" s="6" t="s">
        <v>18</v>
      </c>
      <c r="C246" s="3">
        <v>11016</v>
      </c>
      <c r="D246" s="3">
        <v>11283</v>
      </c>
      <c r="E246" s="3" t="s">
        <v>149</v>
      </c>
      <c r="F246" s="3">
        <v>810</v>
      </c>
      <c r="G246" s="15">
        <v>1919</v>
      </c>
      <c r="H246" s="15"/>
      <c r="I246" s="15"/>
      <c r="J246" s="15"/>
      <c r="K246" s="5" t="s">
        <v>111</v>
      </c>
      <c r="L246" s="5"/>
      <c r="M246" s="5"/>
      <c r="N246" s="15" t="e">
        <f>#REF!</f>
        <v>#REF!</v>
      </c>
      <c r="O246" s="15" t="e">
        <f>#REF!</f>
        <v>#REF!</v>
      </c>
      <c r="P246" s="85" t="e">
        <f>#REF!</f>
        <v>#REF!</v>
      </c>
      <c r="Q246" s="85" t="e">
        <f>#REF!</f>
        <v>#REF!</v>
      </c>
      <c r="R246" s="85" t="e">
        <f>#REF!</f>
        <v>#REF!</v>
      </c>
    </row>
    <row r="247" spans="1:18" ht="21" customHeight="1" hidden="1">
      <c r="A247" s="68"/>
      <c r="B247" s="6" t="s">
        <v>36</v>
      </c>
      <c r="C247" s="3">
        <v>8515</v>
      </c>
      <c r="D247" s="3">
        <v>10111</v>
      </c>
      <c r="E247" s="3" t="s">
        <v>148</v>
      </c>
      <c r="F247" s="3" t="s">
        <v>22</v>
      </c>
      <c r="G247" s="15">
        <v>10123.5</v>
      </c>
      <c r="H247" s="15"/>
      <c r="I247" s="15"/>
      <c r="J247" s="15">
        <v>192</v>
      </c>
      <c r="K247" s="5" t="s">
        <v>111</v>
      </c>
      <c r="L247" s="5"/>
      <c r="M247" s="5"/>
      <c r="N247" s="15" t="e">
        <f>#REF!</f>
        <v>#REF!</v>
      </c>
      <c r="O247" s="15" t="e">
        <f>#REF!</f>
        <v>#REF!</v>
      </c>
      <c r="P247" s="85" t="e">
        <f>#REF!</f>
        <v>#REF!</v>
      </c>
      <c r="Q247" s="85" t="e">
        <f>#REF!</f>
        <v>#REF!</v>
      </c>
      <c r="R247" s="85" t="e">
        <f>#REF!</f>
        <v>#REF!</v>
      </c>
    </row>
    <row r="248" spans="1:18" ht="21" customHeight="1" hidden="1">
      <c r="A248" s="68"/>
      <c r="B248" s="6" t="s">
        <v>36</v>
      </c>
      <c r="C248" s="3">
        <v>8515</v>
      </c>
      <c r="D248" s="3">
        <v>10111</v>
      </c>
      <c r="E248" s="3" t="s">
        <v>148</v>
      </c>
      <c r="F248" s="3">
        <v>810</v>
      </c>
      <c r="G248" s="15">
        <v>216.682</v>
      </c>
      <c r="H248" s="15"/>
      <c r="I248" s="15"/>
      <c r="J248" s="15"/>
      <c r="K248" s="5" t="s">
        <v>111</v>
      </c>
      <c r="L248" s="5"/>
      <c r="M248" s="5"/>
      <c r="N248" s="15" t="e">
        <f>#REF!</f>
        <v>#REF!</v>
      </c>
      <c r="O248" s="15" t="e">
        <f>#REF!</f>
        <v>#REF!</v>
      </c>
      <c r="P248" s="85" t="e">
        <f>#REF!</f>
        <v>#REF!</v>
      </c>
      <c r="Q248" s="85" t="e">
        <f>#REF!</f>
        <v>#REF!</v>
      </c>
      <c r="R248" s="85" t="e">
        <f>#REF!</f>
        <v>#REF!</v>
      </c>
    </row>
    <row r="249" spans="1:18" ht="21" customHeight="1" hidden="1">
      <c r="A249" s="68"/>
      <c r="B249" s="6" t="s">
        <v>132</v>
      </c>
      <c r="C249" s="3">
        <v>4224</v>
      </c>
      <c r="D249" s="3">
        <v>4423</v>
      </c>
      <c r="E249" s="3" t="s">
        <v>148</v>
      </c>
      <c r="F249" s="3" t="s">
        <v>22</v>
      </c>
      <c r="G249" s="15">
        <v>4690.6</v>
      </c>
      <c r="H249" s="15"/>
      <c r="I249" s="15"/>
      <c r="J249" s="15">
        <v>19.7</v>
      </c>
      <c r="K249" s="5" t="s">
        <v>111</v>
      </c>
      <c r="L249" s="5"/>
      <c r="M249" s="5"/>
      <c r="N249" s="15" t="e">
        <f>#REF!</f>
        <v>#REF!</v>
      </c>
      <c r="O249" s="15" t="e">
        <f>#REF!</f>
        <v>#REF!</v>
      </c>
      <c r="P249" s="85" t="e">
        <f>#REF!</f>
        <v>#REF!</v>
      </c>
      <c r="Q249" s="85" t="e">
        <f>#REF!</f>
        <v>#REF!</v>
      </c>
      <c r="R249" s="85" t="e">
        <f>#REF!</f>
        <v>#REF!</v>
      </c>
    </row>
    <row r="250" spans="1:18" ht="21" customHeight="1" hidden="1">
      <c r="A250" s="68"/>
      <c r="B250" s="6" t="s">
        <v>19</v>
      </c>
      <c r="C250" s="3">
        <v>10738</v>
      </c>
      <c r="D250" s="3">
        <v>11830</v>
      </c>
      <c r="E250" s="3" t="s">
        <v>147</v>
      </c>
      <c r="F250" s="3" t="s">
        <v>22</v>
      </c>
      <c r="G250" s="3">
        <v>11247</v>
      </c>
      <c r="H250" s="3"/>
      <c r="I250" s="3"/>
      <c r="J250" s="18">
        <v>169</v>
      </c>
      <c r="K250" s="5" t="s">
        <v>111</v>
      </c>
      <c r="L250" s="5"/>
      <c r="M250" s="5"/>
      <c r="N250" s="15" t="e">
        <f>#REF!</f>
        <v>#REF!</v>
      </c>
      <c r="O250" s="15" t="e">
        <f>#REF!</f>
        <v>#REF!</v>
      </c>
      <c r="P250" s="85" t="e">
        <f>#REF!</f>
        <v>#REF!</v>
      </c>
      <c r="Q250" s="85" t="e">
        <f>#REF!</f>
        <v>#REF!</v>
      </c>
      <c r="R250" s="85" t="e">
        <f>#REF!</f>
        <v>#REF!</v>
      </c>
    </row>
    <row r="251" spans="1:18" ht="21" customHeight="1" hidden="1">
      <c r="A251" s="68"/>
      <c r="B251" s="6" t="s">
        <v>19</v>
      </c>
      <c r="C251" s="3">
        <v>10738</v>
      </c>
      <c r="D251" s="3">
        <v>11830</v>
      </c>
      <c r="E251" s="3" t="s">
        <v>147</v>
      </c>
      <c r="F251" s="3">
        <v>810</v>
      </c>
      <c r="G251" s="3">
        <v>1638</v>
      </c>
      <c r="H251" s="3"/>
      <c r="I251" s="3"/>
      <c r="J251" s="3"/>
      <c r="K251" s="5" t="s">
        <v>111</v>
      </c>
      <c r="L251" s="5"/>
      <c r="M251" s="5"/>
      <c r="N251" s="15" t="e">
        <f>#REF!</f>
        <v>#REF!</v>
      </c>
      <c r="O251" s="15" t="e">
        <f>#REF!</f>
        <v>#REF!</v>
      </c>
      <c r="P251" s="85" t="e">
        <f>#REF!</f>
        <v>#REF!</v>
      </c>
      <c r="Q251" s="85" t="e">
        <f>#REF!</f>
        <v>#REF!</v>
      </c>
      <c r="R251" s="85" t="e">
        <f>#REF!</f>
        <v>#REF!</v>
      </c>
    </row>
    <row r="252" spans="1:18" ht="21.75" customHeight="1" hidden="1">
      <c r="A252" s="68"/>
      <c r="B252" s="6" t="s">
        <v>20</v>
      </c>
      <c r="C252" s="3">
        <v>8427</v>
      </c>
      <c r="D252" s="3">
        <v>8829</v>
      </c>
      <c r="E252" s="3" t="s">
        <v>147</v>
      </c>
      <c r="F252" s="3" t="s">
        <v>22</v>
      </c>
      <c r="G252" s="18">
        <v>11646.98</v>
      </c>
      <c r="H252" s="3"/>
      <c r="I252" s="18"/>
      <c r="J252" s="18">
        <v>50</v>
      </c>
      <c r="K252" s="5" t="s">
        <v>111</v>
      </c>
      <c r="L252" s="5"/>
      <c r="M252" s="5"/>
      <c r="N252" s="15" t="e">
        <f>#REF!</f>
        <v>#REF!</v>
      </c>
      <c r="O252" s="15" t="e">
        <f>#REF!</f>
        <v>#REF!</v>
      </c>
      <c r="P252" s="85" t="e">
        <f>#REF!</f>
        <v>#REF!</v>
      </c>
      <c r="Q252" s="85" t="e">
        <f>#REF!</f>
        <v>#REF!</v>
      </c>
      <c r="R252" s="85" t="e">
        <f>#REF!</f>
        <v>#REF!</v>
      </c>
    </row>
    <row r="253" spans="1:18" ht="21.75" customHeight="1" hidden="1">
      <c r="A253" s="68"/>
      <c r="B253" s="6" t="s">
        <v>20</v>
      </c>
      <c r="C253" s="3">
        <v>8427</v>
      </c>
      <c r="D253" s="3">
        <v>8829</v>
      </c>
      <c r="E253" s="3" t="s">
        <v>147</v>
      </c>
      <c r="F253" s="3">
        <v>810</v>
      </c>
      <c r="G253" s="3">
        <v>1595</v>
      </c>
      <c r="H253" s="3"/>
      <c r="I253" s="3"/>
      <c r="J253" s="3"/>
      <c r="K253" s="5" t="s">
        <v>111</v>
      </c>
      <c r="L253" s="5"/>
      <c r="M253" s="5"/>
      <c r="N253" s="15" t="e">
        <f>#REF!</f>
        <v>#REF!</v>
      </c>
      <c r="O253" s="15" t="e">
        <f>#REF!</f>
        <v>#REF!</v>
      </c>
      <c r="P253" s="85" t="e">
        <f>#REF!</f>
        <v>#REF!</v>
      </c>
      <c r="Q253" s="85" t="e">
        <f>#REF!</f>
        <v>#REF!</v>
      </c>
      <c r="R253" s="85" t="e">
        <f>#REF!</f>
        <v>#REF!</v>
      </c>
    </row>
    <row r="254" spans="1:18" ht="23.25" customHeight="1" hidden="1">
      <c r="A254" s="68"/>
      <c r="B254" s="6" t="s">
        <v>141</v>
      </c>
      <c r="C254" s="3"/>
      <c r="D254" s="3"/>
      <c r="E254" s="3" t="s">
        <v>148</v>
      </c>
      <c r="F254" s="3">
        <v>327</v>
      </c>
      <c r="G254" s="15">
        <v>10590.3747</v>
      </c>
      <c r="H254" s="15"/>
      <c r="I254" s="15"/>
      <c r="J254" s="15"/>
      <c r="K254" s="5" t="s">
        <v>111</v>
      </c>
      <c r="L254" s="5"/>
      <c r="M254" s="5"/>
      <c r="N254" s="15" t="e">
        <f>#REF!</f>
        <v>#REF!</v>
      </c>
      <c r="O254" s="15" t="e">
        <f>#REF!</f>
        <v>#REF!</v>
      </c>
      <c r="P254" s="85" t="e">
        <f>#REF!</f>
        <v>#REF!</v>
      </c>
      <c r="Q254" s="85" t="e">
        <f>#REF!</f>
        <v>#REF!</v>
      </c>
      <c r="R254" s="85" t="e">
        <f>#REF!</f>
        <v>#REF!</v>
      </c>
    </row>
    <row r="255" spans="1:18" ht="21" customHeight="1" hidden="1">
      <c r="A255" s="68"/>
      <c r="B255" s="6" t="s">
        <v>141</v>
      </c>
      <c r="C255" s="3"/>
      <c r="D255" s="3"/>
      <c r="E255" s="3" t="s">
        <v>150</v>
      </c>
      <c r="F255" s="3" t="s">
        <v>22</v>
      </c>
      <c r="G255" s="15">
        <v>815.8</v>
      </c>
      <c r="H255" s="15"/>
      <c r="I255" s="15"/>
      <c r="J255" s="15"/>
      <c r="K255" s="5" t="s">
        <v>111</v>
      </c>
      <c r="L255" s="5"/>
      <c r="M255" s="5"/>
      <c r="N255" s="15" t="e">
        <f>#REF!</f>
        <v>#REF!</v>
      </c>
      <c r="O255" s="15" t="e">
        <f>#REF!</f>
        <v>#REF!</v>
      </c>
      <c r="P255" s="85" t="e">
        <f>#REF!</f>
        <v>#REF!</v>
      </c>
      <c r="Q255" s="85" t="e">
        <f>#REF!</f>
        <v>#REF!</v>
      </c>
      <c r="R255" s="85" t="e">
        <f>#REF!</f>
        <v>#REF!</v>
      </c>
    </row>
    <row r="256" spans="1:18" ht="40.5" customHeight="1" hidden="1">
      <c r="A256" s="68">
        <v>108</v>
      </c>
      <c r="B256" s="6" t="s">
        <v>141</v>
      </c>
      <c r="C256" s="3"/>
      <c r="D256" s="3"/>
      <c r="E256" s="3" t="s">
        <v>147</v>
      </c>
      <c r="F256" s="3" t="s">
        <v>22</v>
      </c>
      <c r="G256" s="15">
        <v>1163.13471</v>
      </c>
      <c r="H256" s="15"/>
      <c r="I256" s="15">
        <v>300</v>
      </c>
      <c r="J256" s="15"/>
      <c r="K256" s="5" t="s">
        <v>111</v>
      </c>
      <c r="L256" s="5"/>
      <c r="M256" s="5"/>
      <c r="N256" s="15" t="e">
        <f>#REF!</f>
        <v>#REF!</v>
      </c>
      <c r="O256" s="15" t="e">
        <f>#REF!</f>
        <v>#REF!</v>
      </c>
      <c r="P256" s="85" t="e">
        <f>#REF!</f>
        <v>#REF!</v>
      </c>
      <c r="Q256" s="85" t="e">
        <f>#REF!</f>
        <v>#REF!</v>
      </c>
      <c r="R256" s="85" t="e">
        <f>#REF!</f>
        <v>#REF!</v>
      </c>
    </row>
    <row r="257" spans="1:18" ht="47.25" hidden="1">
      <c r="A257" s="68">
        <v>115</v>
      </c>
      <c r="B257" s="6" t="s">
        <v>261</v>
      </c>
      <c r="C257" s="3"/>
      <c r="D257" s="3"/>
      <c r="E257" s="3" t="s">
        <v>150</v>
      </c>
      <c r="F257" s="3">
        <v>327</v>
      </c>
      <c r="G257" s="15">
        <v>500</v>
      </c>
      <c r="H257" s="15"/>
      <c r="I257" s="15"/>
      <c r="J257" s="15"/>
      <c r="K257" s="5" t="s">
        <v>111</v>
      </c>
      <c r="L257" s="5"/>
      <c r="M257" s="5"/>
      <c r="N257" s="15" t="e">
        <f>#REF!</f>
        <v>#REF!</v>
      </c>
      <c r="O257" s="15" t="e">
        <f>#REF!</f>
        <v>#REF!</v>
      </c>
      <c r="P257" s="85" t="e">
        <f>#REF!</f>
        <v>#REF!</v>
      </c>
      <c r="Q257" s="85" t="e">
        <f>#REF!</f>
        <v>#REF!</v>
      </c>
      <c r="R257" s="85" t="e">
        <f>#REF!</f>
        <v>#REF!</v>
      </c>
    </row>
    <row r="258" spans="1:18" ht="18.75" customHeight="1">
      <c r="A258" s="68">
        <v>116</v>
      </c>
      <c r="B258" s="51" t="s">
        <v>367</v>
      </c>
      <c r="C258" s="3"/>
      <c r="D258" s="3"/>
      <c r="E258" s="3" t="s">
        <v>225</v>
      </c>
      <c r="F258" s="3">
        <v>453</v>
      </c>
      <c r="G258" s="15">
        <v>127.2351</v>
      </c>
      <c r="H258" s="15"/>
      <c r="I258" s="15"/>
      <c r="J258" s="15"/>
      <c r="K258" s="5" t="s">
        <v>111</v>
      </c>
      <c r="L258" s="5" t="s">
        <v>343</v>
      </c>
      <c r="M258" s="5"/>
      <c r="N258" s="15">
        <f>N259+N260</f>
        <v>50286.513</v>
      </c>
      <c r="O258" s="15">
        <f>O259+O260</f>
        <v>0</v>
      </c>
      <c r="P258" s="85">
        <f>P259+P260</f>
        <v>51747.113</v>
      </c>
      <c r="Q258" s="85">
        <f>Q259+Q260</f>
        <v>47970.64702</v>
      </c>
      <c r="R258" s="85">
        <f>R259+R260</f>
        <v>3776.46598</v>
      </c>
    </row>
    <row r="259" spans="1:18" ht="31.5">
      <c r="A259" s="36">
        <v>117</v>
      </c>
      <c r="B259" s="58" t="s">
        <v>348</v>
      </c>
      <c r="C259" s="3"/>
      <c r="D259" s="3"/>
      <c r="E259" s="3" t="s">
        <v>233</v>
      </c>
      <c r="F259" s="3">
        <v>214</v>
      </c>
      <c r="G259" s="15">
        <v>46.76694</v>
      </c>
      <c r="H259" s="15"/>
      <c r="I259" s="15">
        <v>-46.76694</v>
      </c>
      <c r="J259" s="15"/>
      <c r="K259" s="5" t="s">
        <v>111</v>
      </c>
      <c r="L259" s="5" t="s">
        <v>343</v>
      </c>
      <c r="M259" s="5" t="s">
        <v>22</v>
      </c>
      <c r="N259" s="15">
        <f>40428.9+391.613+1450+300+1500</f>
        <v>44070.513</v>
      </c>
      <c r="O259" s="15"/>
      <c r="P259" s="85">
        <f>40428.9+391.613+1450+300+1500+109+37.5+121.1+155.5+1510-3-635.4</f>
        <v>45365.213</v>
      </c>
      <c r="Q259" s="93">
        <v>42824.77011</v>
      </c>
      <c r="R259" s="89">
        <f>P259-Q259</f>
        <v>2540.44289</v>
      </c>
    </row>
    <row r="260" spans="1:18" ht="31.5">
      <c r="A260" s="36">
        <v>118</v>
      </c>
      <c r="B260" s="61" t="s">
        <v>352</v>
      </c>
      <c r="C260" s="3"/>
      <c r="D260" s="3"/>
      <c r="E260" s="3" t="s">
        <v>246</v>
      </c>
      <c r="F260" s="3">
        <v>453</v>
      </c>
      <c r="G260" s="15">
        <v>9500</v>
      </c>
      <c r="H260" s="15"/>
      <c r="I260" s="15"/>
      <c r="J260" s="15"/>
      <c r="K260" s="5" t="s">
        <v>111</v>
      </c>
      <c r="L260" s="5" t="s">
        <v>343</v>
      </c>
      <c r="M260" s="5" t="s">
        <v>351</v>
      </c>
      <c r="N260" s="15">
        <f>6150+66</f>
        <v>6216</v>
      </c>
      <c r="O260" s="15"/>
      <c r="P260" s="85">
        <f>6150+66+91.1+74.8</f>
        <v>6381.9</v>
      </c>
      <c r="Q260" s="93">
        <v>5145.87691</v>
      </c>
      <c r="R260" s="89">
        <f>P260-Q260</f>
        <v>1236.02309</v>
      </c>
    </row>
    <row r="261" spans="1:18" ht="25.5" customHeight="1">
      <c r="A261" s="36">
        <v>119</v>
      </c>
      <c r="B261" s="51" t="s">
        <v>369</v>
      </c>
      <c r="C261" s="3">
        <v>2300</v>
      </c>
      <c r="D261" s="3">
        <v>2867</v>
      </c>
      <c r="E261" s="3" t="s">
        <v>274</v>
      </c>
      <c r="F261" s="3" t="s">
        <v>113</v>
      </c>
      <c r="G261" s="15">
        <v>2300</v>
      </c>
      <c r="H261" s="15"/>
      <c r="I261" s="15">
        <v>-2108.33334</v>
      </c>
      <c r="J261" s="15"/>
      <c r="K261" s="5" t="s">
        <v>111</v>
      </c>
      <c r="L261" s="5" t="s">
        <v>368</v>
      </c>
      <c r="M261" s="5"/>
      <c r="N261" s="15">
        <f>N262+N263</f>
        <v>6107</v>
      </c>
      <c r="O261" s="15">
        <f>O262+O263</f>
        <v>0</v>
      </c>
      <c r="P261" s="85">
        <f>P262+P263</f>
        <v>6102.8</v>
      </c>
      <c r="Q261" s="85">
        <f>Q262+Q263</f>
        <v>6032.22387</v>
      </c>
      <c r="R261" s="85">
        <f>R262+R263</f>
        <v>70.57613</v>
      </c>
    </row>
    <row r="262" spans="1:18" ht="36.75" customHeight="1">
      <c r="A262" s="36">
        <v>120</v>
      </c>
      <c r="B262" s="58" t="s">
        <v>348</v>
      </c>
      <c r="C262" s="3">
        <v>2300</v>
      </c>
      <c r="D262" s="3">
        <v>2867</v>
      </c>
      <c r="E262" s="3" t="s">
        <v>274</v>
      </c>
      <c r="F262" s="3" t="s">
        <v>113</v>
      </c>
      <c r="G262" s="15">
        <v>0</v>
      </c>
      <c r="H262" s="15"/>
      <c r="I262" s="15">
        <v>2108.33334</v>
      </c>
      <c r="J262" s="15"/>
      <c r="K262" s="5" t="s">
        <v>111</v>
      </c>
      <c r="L262" s="5" t="s">
        <v>368</v>
      </c>
      <c r="M262" s="5" t="s">
        <v>22</v>
      </c>
      <c r="N262" s="15">
        <f>5508.3+96+128</f>
        <v>5732.3</v>
      </c>
      <c r="O262" s="15"/>
      <c r="P262" s="85">
        <f>5508.3+96+128+75.3-4.5-75</f>
        <v>5728.1</v>
      </c>
      <c r="Q262" s="93">
        <f>5566.09887+91.5</f>
        <v>5657.59887</v>
      </c>
      <c r="R262" s="89">
        <f>P262-Q262</f>
        <v>70.50113</v>
      </c>
    </row>
    <row r="263" spans="1:18" ht="31.5">
      <c r="A263" s="36">
        <v>121</v>
      </c>
      <c r="B263" s="61" t="s">
        <v>352</v>
      </c>
      <c r="C263" s="3">
        <v>2300</v>
      </c>
      <c r="D263" s="3">
        <v>2867</v>
      </c>
      <c r="E263" s="3" t="s">
        <v>146</v>
      </c>
      <c r="F263" s="3" t="s">
        <v>113</v>
      </c>
      <c r="G263" s="15">
        <v>1698.68</v>
      </c>
      <c r="H263" s="15"/>
      <c r="I263" s="15">
        <v>-1698.68</v>
      </c>
      <c r="J263" s="15"/>
      <c r="K263" s="5" t="s">
        <v>111</v>
      </c>
      <c r="L263" s="5" t="s">
        <v>368</v>
      </c>
      <c r="M263" s="5" t="s">
        <v>351</v>
      </c>
      <c r="N263" s="15">
        <f>319+55.7</f>
        <v>374.7</v>
      </c>
      <c r="O263" s="15"/>
      <c r="P263" s="85">
        <f>319+55.7</f>
        <v>374.7</v>
      </c>
      <c r="Q263" s="93">
        <v>374.625</v>
      </c>
      <c r="R263" s="89">
        <f>P263-Q263</f>
        <v>0.075</v>
      </c>
    </row>
    <row r="264" spans="1:18" ht="15.75">
      <c r="A264" s="36">
        <v>122</v>
      </c>
      <c r="B264" s="51" t="s">
        <v>370</v>
      </c>
      <c r="C264" s="3"/>
      <c r="D264" s="3"/>
      <c r="E264" s="3"/>
      <c r="F264" s="3"/>
      <c r="G264" s="15"/>
      <c r="H264" s="15"/>
      <c r="I264" s="15"/>
      <c r="J264" s="15"/>
      <c r="K264" s="5" t="s">
        <v>111</v>
      </c>
      <c r="L264" s="5" t="s">
        <v>371</v>
      </c>
      <c r="M264" s="5"/>
      <c r="N264" s="15">
        <f>N265+N266</f>
        <v>25056.5</v>
      </c>
      <c r="O264" s="15">
        <f>O265+O266</f>
        <v>2326</v>
      </c>
      <c r="P264" s="85">
        <f>P265+P266</f>
        <v>24574.503</v>
      </c>
      <c r="Q264" s="85">
        <f>Q265+Q266</f>
        <v>23003.11631</v>
      </c>
      <c r="R264" s="85">
        <f>R265+R266</f>
        <v>1571.38669</v>
      </c>
    </row>
    <row r="265" spans="1:18" ht="31.5">
      <c r="A265" s="36">
        <v>123</v>
      </c>
      <c r="B265" s="58" t="s">
        <v>348</v>
      </c>
      <c r="C265" s="3"/>
      <c r="D265" s="3"/>
      <c r="E265" s="3"/>
      <c r="F265" s="3"/>
      <c r="G265" s="15"/>
      <c r="H265" s="15"/>
      <c r="I265" s="15"/>
      <c r="J265" s="15"/>
      <c r="K265" s="5" t="s">
        <v>111</v>
      </c>
      <c r="L265" s="5" t="s">
        <v>371</v>
      </c>
      <c r="M265" s="5" t="s">
        <v>22</v>
      </c>
      <c r="N265" s="15">
        <f>19440.5+213+5100</f>
        <v>24753.5</v>
      </c>
      <c r="O265" s="15">
        <v>2326</v>
      </c>
      <c r="P265" s="85">
        <f>19440.5+213+5100+2326+132.3+60.6-2900-1.5-15.197-84.2</f>
        <v>24271.503</v>
      </c>
      <c r="Q265" s="93">
        <f>11340.64074+141+5177.23069+70.5+1175+2499.942+2325.95123</f>
        <v>22730.26466</v>
      </c>
      <c r="R265" s="89">
        <f>P265-Q265</f>
        <v>1541.23834</v>
      </c>
    </row>
    <row r="266" spans="1:18" ht="31.5">
      <c r="A266" s="36">
        <v>124</v>
      </c>
      <c r="B266" s="61" t="s">
        <v>352</v>
      </c>
      <c r="C266" s="3"/>
      <c r="D266" s="3"/>
      <c r="E266" s="3"/>
      <c r="F266" s="3"/>
      <c r="G266" s="15"/>
      <c r="H266" s="15"/>
      <c r="I266" s="15"/>
      <c r="J266" s="15"/>
      <c r="K266" s="5" t="s">
        <v>111</v>
      </c>
      <c r="L266" s="5" t="s">
        <v>371</v>
      </c>
      <c r="M266" s="5" t="s">
        <v>351</v>
      </c>
      <c r="N266" s="15">
        <v>303</v>
      </c>
      <c r="O266" s="15"/>
      <c r="P266" s="85">
        <v>303</v>
      </c>
      <c r="Q266" s="93">
        <v>272.85165</v>
      </c>
      <c r="R266" s="89">
        <f>P266-Q266</f>
        <v>30.14835</v>
      </c>
    </row>
    <row r="267" spans="1:18" ht="31.5">
      <c r="A267" s="36">
        <v>125</v>
      </c>
      <c r="B267" s="47" t="s">
        <v>372</v>
      </c>
      <c r="C267" s="3"/>
      <c r="D267" s="3"/>
      <c r="E267" s="3"/>
      <c r="F267" s="3"/>
      <c r="G267" s="15"/>
      <c r="H267" s="15"/>
      <c r="I267" s="15"/>
      <c r="J267" s="15"/>
      <c r="K267" s="5" t="s">
        <v>111</v>
      </c>
      <c r="L267" s="5" t="s">
        <v>373</v>
      </c>
      <c r="M267" s="5"/>
      <c r="N267" s="15">
        <f>N268+N269</f>
        <v>24516.74427</v>
      </c>
      <c r="O267" s="15">
        <f>O268+O269</f>
        <v>0</v>
      </c>
      <c r="P267" s="85">
        <f>P268+P269</f>
        <v>24860.48927</v>
      </c>
      <c r="Q267" s="85">
        <f>Q268+Q269</f>
        <v>24503.16343</v>
      </c>
      <c r="R267" s="85">
        <f>R268+R269</f>
        <v>357.32584</v>
      </c>
    </row>
    <row r="268" spans="1:18" ht="31.5">
      <c r="A268" s="36">
        <v>126</v>
      </c>
      <c r="B268" s="58" t="s">
        <v>348</v>
      </c>
      <c r="C268" s="3"/>
      <c r="D268" s="3"/>
      <c r="E268" s="3"/>
      <c r="F268" s="3"/>
      <c r="G268" s="15"/>
      <c r="H268" s="15"/>
      <c r="I268" s="15"/>
      <c r="J268" s="15"/>
      <c r="K268" s="5" t="s">
        <v>111</v>
      </c>
      <c r="L268" s="5" t="s">
        <v>373</v>
      </c>
      <c r="M268" s="5" t="s">
        <v>22</v>
      </c>
      <c r="N268" s="15">
        <f>20766.8+232.5+2.94427</f>
        <v>21002.24427</v>
      </c>
      <c r="O268" s="15"/>
      <c r="P268" s="85">
        <f>20766.8+232.5+2.94427+71.4+263.6-40</f>
        <v>21297.24427</v>
      </c>
      <c r="Q268" s="93">
        <f>231.92529+2.94427+177+15648.30692+5007.1317+55.5</f>
        <v>21122.80818</v>
      </c>
      <c r="R268" s="89">
        <f>P268-Q268</f>
        <v>174.43609</v>
      </c>
    </row>
    <row r="269" spans="1:18" ht="31.5">
      <c r="A269" s="36">
        <v>127</v>
      </c>
      <c r="B269" s="61" t="s">
        <v>352</v>
      </c>
      <c r="C269" s="3"/>
      <c r="D269" s="3"/>
      <c r="E269" s="3"/>
      <c r="F269" s="3"/>
      <c r="G269" s="15"/>
      <c r="H269" s="15"/>
      <c r="I269" s="15"/>
      <c r="J269" s="15"/>
      <c r="K269" s="5" t="s">
        <v>111</v>
      </c>
      <c r="L269" s="5" t="s">
        <v>373</v>
      </c>
      <c r="M269" s="5" t="s">
        <v>351</v>
      </c>
      <c r="N269" s="15">
        <f>3473+41.5</f>
        <v>3514.5</v>
      </c>
      <c r="O269" s="15"/>
      <c r="P269" s="85">
        <f>3473+41.5+48.745</f>
        <v>3563.245</v>
      </c>
      <c r="Q269" s="93">
        <f>751.57589+2628.77936</f>
        <v>3380.35525</v>
      </c>
      <c r="R269" s="89">
        <f>P269-Q269</f>
        <v>182.88975</v>
      </c>
    </row>
    <row r="270" spans="1:18" ht="15.75">
      <c r="A270" s="39">
        <v>128</v>
      </c>
      <c r="B270" s="6" t="s">
        <v>23</v>
      </c>
      <c r="C270" s="4">
        <f>C271</f>
        <v>2100</v>
      </c>
      <c r="D270" s="4">
        <f>D271</f>
        <v>1658</v>
      </c>
      <c r="E270" s="4"/>
      <c r="F270" s="4"/>
      <c r="G270" s="15">
        <f>G271</f>
        <v>1000</v>
      </c>
      <c r="H270" s="14">
        <f>H271</f>
        <v>0</v>
      </c>
      <c r="I270" s="14">
        <f>I271</f>
        <v>0</v>
      </c>
      <c r="J270" s="14">
        <f>J271</f>
        <v>0</v>
      </c>
      <c r="K270" s="5" t="s">
        <v>85</v>
      </c>
      <c r="L270" s="5"/>
      <c r="M270" s="5"/>
      <c r="N270" s="15">
        <f aca="true" t="shared" si="7" ref="N270:R271">N271</f>
        <v>3054</v>
      </c>
      <c r="O270" s="15">
        <f t="shared" si="7"/>
        <v>0</v>
      </c>
      <c r="P270" s="85">
        <f t="shared" si="7"/>
        <v>3054</v>
      </c>
      <c r="Q270" s="85">
        <f t="shared" si="7"/>
        <v>3054</v>
      </c>
      <c r="R270" s="85">
        <f t="shared" si="7"/>
        <v>0</v>
      </c>
    </row>
    <row r="271" spans="1:18" ht="47.25">
      <c r="A271" s="36">
        <v>129</v>
      </c>
      <c r="B271" s="60" t="s">
        <v>377</v>
      </c>
      <c r="C271" s="3">
        <v>2100</v>
      </c>
      <c r="D271" s="3">
        <v>1658</v>
      </c>
      <c r="E271" s="3" t="s">
        <v>217</v>
      </c>
      <c r="F271" s="3" t="s">
        <v>113</v>
      </c>
      <c r="G271" s="15">
        <v>1000</v>
      </c>
      <c r="H271" s="15"/>
      <c r="I271" s="15"/>
      <c r="J271" s="15"/>
      <c r="K271" s="5" t="s">
        <v>85</v>
      </c>
      <c r="L271" s="5" t="s">
        <v>375</v>
      </c>
      <c r="M271" s="5"/>
      <c r="N271" s="15">
        <f t="shared" si="7"/>
        <v>3054</v>
      </c>
      <c r="O271" s="15">
        <f t="shared" si="7"/>
        <v>0</v>
      </c>
      <c r="P271" s="85">
        <f t="shared" si="7"/>
        <v>3054</v>
      </c>
      <c r="Q271" s="85">
        <f t="shared" si="7"/>
        <v>3054</v>
      </c>
      <c r="R271" s="85">
        <f t="shared" si="7"/>
        <v>0</v>
      </c>
    </row>
    <row r="272" spans="1:18" ht="31.5">
      <c r="A272" s="39">
        <v>130</v>
      </c>
      <c r="B272" s="55" t="s">
        <v>376</v>
      </c>
      <c r="C272" s="2"/>
      <c r="D272" s="2"/>
      <c r="E272" s="2"/>
      <c r="F272" s="2"/>
      <c r="G272" s="15"/>
      <c r="H272" s="15"/>
      <c r="I272" s="15"/>
      <c r="J272" s="15"/>
      <c r="K272" s="5" t="s">
        <v>85</v>
      </c>
      <c r="L272" s="5" t="s">
        <v>375</v>
      </c>
      <c r="M272" s="5" t="s">
        <v>113</v>
      </c>
      <c r="N272" s="15">
        <v>3054</v>
      </c>
      <c r="O272" s="15"/>
      <c r="P272" s="85">
        <v>3054</v>
      </c>
      <c r="Q272" s="93">
        <v>3054</v>
      </c>
      <c r="R272" s="89">
        <f>P272-Q272</f>
        <v>0</v>
      </c>
    </row>
    <row r="273" spans="1:18" ht="22.5" customHeight="1">
      <c r="A273" s="67">
        <v>131</v>
      </c>
      <c r="B273" s="30" t="s">
        <v>161</v>
      </c>
      <c r="C273" s="31" t="e">
        <f>SUM(C274+C293+#REF!+#REF!)</f>
        <v>#REF!</v>
      </c>
      <c r="D273" s="31" t="e">
        <f>SUM(D274+D293+#REF!+#REF!)</f>
        <v>#REF!</v>
      </c>
      <c r="E273" s="31"/>
      <c r="F273" s="31"/>
      <c r="G273" s="28" t="e">
        <f>G274+G293+G297</f>
        <v>#REF!</v>
      </c>
      <c r="H273" s="28" t="e">
        <f>H274+H293+H297</f>
        <v>#REF!</v>
      </c>
      <c r="I273" s="28" t="e">
        <f>I274+I293+I297</f>
        <v>#REF!</v>
      </c>
      <c r="J273" s="28" t="e">
        <f>J274+J293+J297</f>
        <v>#REF!</v>
      </c>
      <c r="K273" s="29" t="s">
        <v>68</v>
      </c>
      <c r="L273" s="29"/>
      <c r="M273" s="29"/>
      <c r="N273" s="28">
        <f>N274+N293+N301</f>
        <v>133736.0712</v>
      </c>
      <c r="O273" s="28">
        <f>O274+O293+O301</f>
        <v>0</v>
      </c>
      <c r="P273" s="84">
        <f>P274+P293+P301</f>
        <v>131093.0712</v>
      </c>
      <c r="Q273" s="84">
        <f>Q274+Q293+Q301</f>
        <v>120967.21437</v>
      </c>
      <c r="R273" s="84">
        <f>R274+R293+R301</f>
        <v>10125.85683</v>
      </c>
    </row>
    <row r="274" spans="1:18" s="1" customFormat="1" ht="21" customHeight="1">
      <c r="A274" s="69">
        <v>132</v>
      </c>
      <c r="B274" s="6" t="s">
        <v>21</v>
      </c>
      <c r="C274" s="2">
        <f>SUM(C275:C277)</f>
        <v>156311</v>
      </c>
      <c r="D274" s="2">
        <f>SUM(D275:D277)</f>
        <v>170760</v>
      </c>
      <c r="E274" s="2"/>
      <c r="F274" s="2"/>
      <c r="G274" s="15" t="e">
        <f>G275+G276+G277+G278+G279+G280+G281+G282+G283+#REF!+G284+G285</f>
        <v>#REF!</v>
      </c>
      <c r="H274" s="15" t="e">
        <f>H275+H276+H277+H278+H279+H280+H281+H282+H283+#REF!+H284+H285</f>
        <v>#REF!</v>
      </c>
      <c r="I274" s="15" t="e">
        <f>I275+I276+I277+I278+I279+I280+I281+I282+I283+#REF!+I284+I285</f>
        <v>#REF!</v>
      </c>
      <c r="J274" s="15" t="e">
        <f>J275+J276+J277+J278+J279+J280+J281+J282+J283+#REF!+J284+J285</f>
        <v>#REF!</v>
      </c>
      <c r="K274" s="5" t="s">
        <v>69</v>
      </c>
      <c r="L274" s="5"/>
      <c r="M274" s="5"/>
      <c r="N274" s="15">
        <f>N284+N289+N291</f>
        <v>89147.39</v>
      </c>
      <c r="O274" s="15">
        <f>O284+O289+O291+O287</f>
        <v>0</v>
      </c>
      <c r="P274" s="85">
        <f>P284+P289+P291+P287</f>
        <v>83716.39</v>
      </c>
      <c r="Q274" s="85">
        <f>Q284+Q289+Q291+Q287</f>
        <v>79634.48746</v>
      </c>
      <c r="R274" s="85">
        <f>R284+R289+R291+R287</f>
        <v>4081.90254</v>
      </c>
    </row>
    <row r="275" spans="1:18" s="1" customFormat="1" ht="30" customHeight="1" hidden="1">
      <c r="A275" s="39">
        <v>131</v>
      </c>
      <c r="B275" s="9" t="s">
        <v>263</v>
      </c>
      <c r="C275" s="3">
        <v>156311</v>
      </c>
      <c r="D275" s="3">
        <v>170760</v>
      </c>
      <c r="E275" s="3" t="s">
        <v>167</v>
      </c>
      <c r="F275" s="3">
        <v>327</v>
      </c>
      <c r="G275" s="15">
        <v>3483</v>
      </c>
      <c r="H275" s="15"/>
      <c r="I275" s="15"/>
      <c r="J275" s="15"/>
      <c r="K275" s="5" t="s">
        <v>69</v>
      </c>
      <c r="L275" s="5"/>
      <c r="M275" s="5"/>
      <c r="N275" s="15" t="e">
        <f>#REF!</f>
        <v>#REF!</v>
      </c>
      <c r="O275" s="15" t="e">
        <f>#REF!</f>
        <v>#REF!</v>
      </c>
      <c r="P275" s="85" t="e">
        <f>#REF!</f>
        <v>#REF!</v>
      </c>
      <c r="Q275" s="85" t="e">
        <f>#REF!</f>
        <v>#REF!</v>
      </c>
      <c r="R275" s="85" t="e">
        <f>#REF!</f>
        <v>#REF!</v>
      </c>
    </row>
    <row r="276" spans="1:18" s="1" customFormat="1" ht="49.5" customHeight="1" hidden="1">
      <c r="A276" s="39"/>
      <c r="B276" s="9" t="s">
        <v>264</v>
      </c>
      <c r="C276" s="3"/>
      <c r="D276" s="3"/>
      <c r="E276" s="3" t="s">
        <v>275</v>
      </c>
      <c r="F276" s="3">
        <v>455</v>
      </c>
      <c r="G276" s="15">
        <v>161184.305</v>
      </c>
      <c r="H276" s="15"/>
      <c r="I276" s="15"/>
      <c r="J276" s="15"/>
      <c r="K276" s="5" t="s">
        <v>69</v>
      </c>
      <c r="L276" s="5"/>
      <c r="M276" s="5"/>
      <c r="N276" s="15" t="e">
        <f>#REF!</f>
        <v>#REF!</v>
      </c>
      <c r="O276" s="15" t="e">
        <f>#REF!</f>
        <v>#REF!</v>
      </c>
      <c r="P276" s="85" t="e">
        <f>#REF!</f>
        <v>#REF!</v>
      </c>
      <c r="Q276" s="85" t="e">
        <f>#REF!</f>
        <v>#REF!</v>
      </c>
      <c r="R276" s="85" t="e">
        <f>#REF!</f>
        <v>#REF!</v>
      </c>
    </row>
    <row r="277" spans="1:18" s="1" customFormat="1" ht="52.5" customHeight="1" hidden="1">
      <c r="A277" s="39"/>
      <c r="B277" s="6" t="s">
        <v>265</v>
      </c>
      <c r="C277" s="3"/>
      <c r="D277" s="3"/>
      <c r="E277" s="3" t="s">
        <v>210</v>
      </c>
      <c r="F277" s="3">
        <v>455</v>
      </c>
      <c r="G277" s="15">
        <v>4582.4</v>
      </c>
      <c r="H277" s="15"/>
      <c r="I277" s="15"/>
      <c r="J277" s="15"/>
      <c r="K277" s="5" t="s">
        <v>69</v>
      </c>
      <c r="L277" s="5"/>
      <c r="M277" s="5"/>
      <c r="N277" s="15" t="e">
        <f>#REF!</f>
        <v>#REF!</v>
      </c>
      <c r="O277" s="15" t="e">
        <f>#REF!</f>
        <v>#REF!</v>
      </c>
      <c r="P277" s="85" t="e">
        <f>#REF!</f>
        <v>#REF!</v>
      </c>
      <c r="Q277" s="85" t="e">
        <f>#REF!</f>
        <v>#REF!</v>
      </c>
      <c r="R277" s="85" t="e">
        <f>#REF!</f>
        <v>#REF!</v>
      </c>
    </row>
    <row r="278" spans="1:18" s="1" customFormat="1" ht="42.75" customHeight="1" hidden="1">
      <c r="A278" s="39"/>
      <c r="B278" s="6" t="s">
        <v>236</v>
      </c>
      <c r="C278" s="3"/>
      <c r="D278" s="3"/>
      <c r="E278" s="3" t="s">
        <v>167</v>
      </c>
      <c r="F278" s="3">
        <v>327</v>
      </c>
      <c r="G278" s="15">
        <v>7302</v>
      </c>
      <c r="H278" s="15"/>
      <c r="I278" s="15"/>
      <c r="J278" s="15"/>
      <c r="K278" s="5" t="s">
        <v>69</v>
      </c>
      <c r="L278" s="5"/>
      <c r="M278" s="5"/>
      <c r="N278" s="15" t="e">
        <f>#REF!</f>
        <v>#REF!</v>
      </c>
      <c r="O278" s="15" t="e">
        <f>#REF!</f>
        <v>#REF!</v>
      </c>
      <c r="P278" s="85" t="e">
        <f>#REF!</f>
        <v>#REF!</v>
      </c>
      <c r="Q278" s="85" t="e">
        <f>#REF!</f>
        <v>#REF!</v>
      </c>
      <c r="R278" s="85" t="e">
        <f>#REF!</f>
        <v>#REF!</v>
      </c>
    </row>
    <row r="279" spans="1:18" s="1" customFormat="1" ht="36" customHeight="1" hidden="1">
      <c r="A279" s="39"/>
      <c r="B279" s="6" t="s">
        <v>237</v>
      </c>
      <c r="C279" s="3"/>
      <c r="D279" s="3"/>
      <c r="E279" s="3" t="s">
        <v>210</v>
      </c>
      <c r="F279" s="3">
        <v>455</v>
      </c>
      <c r="G279" s="15">
        <v>900</v>
      </c>
      <c r="H279" s="15"/>
      <c r="I279" s="15"/>
      <c r="J279" s="15"/>
      <c r="K279" s="5" t="s">
        <v>69</v>
      </c>
      <c r="L279" s="5"/>
      <c r="M279" s="5"/>
      <c r="N279" s="15" t="e">
        <f>#REF!</f>
        <v>#REF!</v>
      </c>
      <c r="O279" s="15" t="e">
        <f>#REF!</f>
        <v>#REF!</v>
      </c>
      <c r="P279" s="85" t="e">
        <f>#REF!</f>
        <v>#REF!</v>
      </c>
      <c r="Q279" s="85" t="e">
        <f>#REF!</f>
        <v>#REF!</v>
      </c>
      <c r="R279" s="85" t="e">
        <f>#REF!</f>
        <v>#REF!</v>
      </c>
    </row>
    <row r="280" spans="1:18" s="1" customFormat="1" ht="51.75" customHeight="1" hidden="1">
      <c r="A280" s="39"/>
      <c r="B280" s="6" t="s">
        <v>234</v>
      </c>
      <c r="C280" s="3"/>
      <c r="D280" s="3"/>
      <c r="E280" s="3" t="s">
        <v>214</v>
      </c>
      <c r="F280" s="3">
        <v>455</v>
      </c>
      <c r="G280" s="15">
        <v>35000</v>
      </c>
      <c r="H280" s="15"/>
      <c r="I280" s="15"/>
      <c r="J280" s="15"/>
      <c r="K280" s="5" t="s">
        <v>69</v>
      </c>
      <c r="L280" s="5"/>
      <c r="M280" s="5"/>
      <c r="N280" s="15" t="e">
        <f>#REF!</f>
        <v>#REF!</v>
      </c>
      <c r="O280" s="15" t="e">
        <f>#REF!</f>
        <v>#REF!</v>
      </c>
      <c r="P280" s="85" t="e">
        <f>#REF!</f>
        <v>#REF!</v>
      </c>
      <c r="Q280" s="85" t="e">
        <f>#REF!</f>
        <v>#REF!</v>
      </c>
      <c r="R280" s="85" t="e">
        <f>#REF!</f>
        <v>#REF!</v>
      </c>
    </row>
    <row r="281" spans="1:18" s="1" customFormat="1" ht="42.75" customHeight="1" hidden="1">
      <c r="A281" s="39"/>
      <c r="B281" s="6" t="s">
        <v>141</v>
      </c>
      <c r="C281" s="3"/>
      <c r="D281" s="3"/>
      <c r="E281" s="3" t="s">
        <v>167</v>
      </c>
      <c r="F281" s="3">
        <v>327</v>
      </c>
      <c r="G281" s="15">
        <v>19746.88811</v>
      </c>
      <c r="H281" s="15"/>
      <c r="I281" s="15"/>
      <c r="J281" s="15"/>
      <c r="K281" s="5" t="s">
        <v>69</v>
      </c>
      <c r="L281" s="5"/>
      <c r="M281" s="5"/>
      <c r="N281" s="15" t="e">
        <f>#REF!</f>
        <v>#REF!</v>
      </c>
      <c r="O281" s="15" t="e">
        <f>#REF!</f>
        <v>#REF!</v>
      </c>
      <c r="P281" s="85" t="e">
        <f>#REF!</f>
        <v>#REF!</v>
      </c>
      <c r="Q281" s="85" t="e">
        <f>#REF!</f>
        <v>#REF!</v>
      </c>
      <c r="R281" s="85" t="e">
        <f>#REF!</f>
        <v>#REF!</v>
      </c>
    </row>
    <row r="282" spans="1:18" s="1" customFormat="1" ht="39.75" customHeight="1" hidden="1">
      <c r="A282" s="39">
        <v>125</v>
      </c>
      <c r="B282" s="6" t="s">
        <v>223</v>
      </c>
      <c r="C282" s="3"/>
      <c r="D282" s="3"/>
      <c r="E282" s="3" t="s">
        <v>224</v>
      </c>
      <c r="F282" s="3">
        <v>455</v>
      </c>
      <c r="G282" s="15">
        <v>15.9092</v>
      </c>
      <c r="H282" s="15"/>
      <c r="I282" s="15"/>
      <c r="J282" s="15"/>
      <c r="K282" s="5" t="s">
        <v>69</v>
      </c>
      <c r="L282" s="5"/>
      <c r="M282" s="5"/>
      <c r="N282" s="15" t="e">
        <f>#REF!</f>
        <v>#REF!</v>
      </c>
      <c r="O282" s="15" t="e">
        <f>#REF!</f>
        <v>#REF!</v>
      </c>
      <c r="P282" s="85" t="e">
        <f>#REF!</f>
        <v>#REF!</v>
      </c>
      <c r="Q282" s="85" t="e">
        <f>#REF!</f>
        <v>#REF!</v>
      </c>
      <c r="R282" s="85" t="e">
        <f>#REF!</f>
        <v>#REF!</v>
      </c>
    </row>
    <row r="283" spans="1:18" s="1" customFormat="1" ht="15.75" customHeight="1" hidden="1">
      <c r="A283" s="39">
        <v>132</v>
      </c>
      <c r="B283" s="6" t="s">
        <v>252</v>
      </c>
      <c r="C283" s="3"/>
      <c r="D283" s="3"/>
      <c r="E283" s="3" t="s">
        <v>277</v>
      </c>
      <c r="F283" s="3">
        <v>327</v>
      </c>
      <c r="G283" s="15">
        <v>191</v>
      </c>
      <c r="H283" s="3"/>
      <c r="I283" s="15">
        <v>-1.96518</v>
      </c>
      <c r="J283" s="3"/>
      <c r="K283" s="5" t="s">
        <v>69</v>
      </c>
      <c r="L283" s="5"/>
      <c r="M283" s="5"/>
      <c r="N283" s="15" t="e">
        <f>#REF!</f>
        <v>#REF!</v>
      </c>
      <c r="O283" s="15" t="e">
        <f>#REF!</f>
        <v>#REF!</v>
      </c>
      <c r="P283" s="85" t="e">
        <f>#REF!</f>
        <v>#REF!</v>
      </c>
      <c r="Q283" s="85" t="e">
        <f>#REF!</f>
        <v>#REF!</v>
      </c>
      <c r="R283" s="85" t="e">
        <f>#REF!</f>
        <v>#REF!</v>
      </c>
    </row>
    <row r="284" spans="1:18" s="1" customFormat="1" ht="31.5">
      <c r="A284" s="39">
        <v>133</v>
      </c>
      <c r="B284" s="47" t="s">
        <v>379</v>
      </c>
      <c r="C284" s="3">
        <v>72000</v>
      </c>
      <c r="D284" s="3">
        <v>106600</v>
      </c>
      <c r="E284" s="3" t="s">
        <v>138</v>
      </c>
      <c r="F284" s="3">
        <v>455</v>
      </c>
      <c r="G284" s="15">
        <v>127200</v>
      </c>
      <c r="H284" s="15"/>
      <c r="I284" s="15"/>
      <c r="J284" s="15"/>
      <c r="K284" s="5" t="s">
        <v>69</v>
      </c>
      <c r="L284" s="5" t="s">
        <v>378</v>
      </c>
      <c r="M284" s="5"/>
      <c r="N284" s="15">
        <f>N285+N286</f>
        <v>87824.55</v>
      </c>
      <c r="O284" s="15">
        <f>O285+O286</f>
        <v>-4000</v>
      </c>
      <c r="P284" s="85">
        <f>P285+P286</f>
        <v>79393.55</v>
      </c>
      <c r="Q284" s="85">
        <f>Q285+Q286</f>
        <v>76365.9</v>
      </c>
      <c r="R284" s="85">
        <f>R285+R286</f>
        <v>3027.65</v>
      </c>
    </row>
    <row r="285" spans="1:18" s="1" customFormat="1" ht="30.75" customHeight="1">
      <c r="A285" s="39">
        <v>134</v>
      </c>
      <c r="B285" s="55" t="s">
        <v>380</v>
      </c>
      <c r="C285" s="2"/>
      <c r="D285" s="2"/>
      <c r="E285" s="2" t="s">
        <v>240</v>
      </c>
      <c r="F285" s="2">
        <v>455</v>
      </c>
      <c r="G285" s="15">
        <v>0</v>
      </c>
      <c r="H285" s="15"/>
      <c r="I285" s="15">
        <v>118.501</v>
      </c>
      <c r="J285" s="15"/>
      <c r="K285" s="5" t="s">
        <v>69</v>
      </c>
      <c r="L285" s="5" t="s">
        <v>378</v>
      </c>
      <c r="M285" s="5" t="s">
        <v>276</v>
      </c>
      <c r="N285" s="15">
        <f>86993.55</f>
        <v>86993.55</v>
      </c>
      <c r="O285" s="15">
        <v>-4000</v>
      </c>
      <c r="P285" s="85">
        <f>86993.55-4000-3500-100</f>
        <v>79393.55</v>
      </c>
      <c r="Q285" s="93">
        <v>76365.9</v>
      </c>
      <c r="R285" s="89">
        <f>P285-Q285</f>
        <v>3027.65</v>
      </c>
    </row>
    <row r="286" spans="1:18" s="1" customFormat="1" ht="58.5" customHeight="1" hidden="1">
      <c r="A286" s="39"/>
      <c r="B286" s="9" t="s">
        <v>419</v>
      </c>
      <c r="C286" s="2"/>
      <c r="D286" s="2"/>
      <c r="E286" s="2"/>
      <c r="F286" s="2"/>
      <c r="G286" s="15"/>
      <c r="H286" s="15"/>
      <c r="I286" s="15"/>
      <c r="J286" s="15"/>
      <c r="K286" s="5" t="s">
        <v>69</v>
      </c>
      <c r="L286" s="3" t="s">
        <v>275</v>
      </c>
      <c r="M286" s="3">
        <v>808</v>
      </c>
      <c r="N286" s="15">
        <v>831</v>
      </c>
      <c r="O286" s="15"/>
      <c r="P286" s="85">
        <f>831-831</f>
        <v>0</v>
      </c>
      <c r="Q286" s="93"/>
      <c r="R286" s="93"/>
    </row>
    <row r="287" spans="1:18" s="1" customFormat="1" ht="28.5" customHeight="1">
      <c r="A287" s="39">
        <v>135</v>
      </c>
      <c r="B287" s="63" t="s">
        <v>471</v>
      </c>
      <c r="C287" s="2"/>
      <c r="D287" s="2"/>
      <c r="E287" s="2"/>
      <c r="F287" s="2"/>
      <c r="G287" s="15"/>
      <c r="H287" s="15"/>
      <c r="I287" s="15"/>
      <c r="J287" s="15"/>
      <c r="K287" s="5" t="s">
        <v>69</v>
      </c>
      <c r="L287" s="22" t="s">
        <v>470</v>
      </c>
      <c r="M287" s="22"/>
      <c r="N287" s="15"/>
      <c r="O287" s="15">
        <f>O288</f>
        <v>4000</v>
      </c>
      <c r="P287" s="85">
        <f>P288</f>
        <v>3000</v>
      </c>
      <c r="Q287" s="85">
        <f>Q288</f>
        <v>2782.96746</v>
      </c>
      <c r="R287" s="85">
        <f>R288</f>
        <v>217.03254</v>
      </c>
    </row>
    <row r="288" spans="1:18" s="1" customFormat="1" ht="31.5">
      <c r="A288" s="39">
        <v>136</v>
      </c>
      <c r="B288" s="58" t="s">
        <v>348</v>
      </c>
      <c r="C288" s="2"/>
      <c r="D288" s="2"/>
      <c r="E288" s="2"/>
      <c r="F288" s="2"/>
      <c r="G288" s="15"/>
      <c r="H288" s="15"/>
      <c r="I288" s="15"/>
      <c r="J288" s="15"/>
      <c r="K288" s="5" t="s">
        <v>69</v>
      </c>
      <c r="L288" s="22" t="s">
        <v>470</v>
      </c>
      <c r="M288" s="22">
        <v>327</v>
      </c>
      <c r="N288" s="15"/>
      <c r="O288" s="15">
        <v>4000</v>
      </c>
      <c r="P288" s="85">
        <f>4000-1000</f>
        <v>3000</v>
      </c>
      <c r="Q288" s="93">
        <v>2782.96746</v>
      </c>
      <c r="R288" s="89">
        <f>P288-Q288</f>
        <v>217.03254</v>
      </c>
    </row>
    <row r="289" spans="1:18" s="1" customFormat="1" ht="15.75">
      <c r="A289" s="39">
        <v>137</v>
      </c>
      <c r="B289" s="51" t="s">
        <v>382</v>
      </c>
      <c r="C289" s="2"/>
      <c r="D289" s="2"/>
      <c r="E289" s="2"/>
      <c r="F289" s="2"/>
      <c r="G289" s="15"/>
      <c r="H289" s="15"/>
      <c r="I289" s="15"/>
      <c r="J289" s="15"/>
      <c r="K289" s="5" t="s">
        <v>69</v>
      </c>
      <c r="L289" s="5" t="s">
        <v>381</v>
      </c>
      <c r="M289" s="5"/>
      <c r="N289" s="15">
        <f>N290</f>
        <v>422.84</v>
      </c>
      <c r="O289" s="15">
        <f>O290</f>
        <v>0</v>
      </c>
      <c r="P289" s="85">
        <f>P290</f>
        <v>422.84</v>
      </c>
      <c r="Q289" s="85">
        <f>Q290</f>
        <v>330.42</v>
      </c>
      <c r="R289" s="85">
        <f>R290</f>
        <v>92.42</v>
      </c>
    </row>
    <row r="290" spans="1:18" s="1" customFormat="1" ht="31.5">
      <c r="A290" s="39">
        <v>138</v>
      </c>
      <c r="B290" s="58" t="s">
        <v>348</v>
      </c>
      <c r="C290" s="2"/>
      <c r="D290" s="2"/>
      <c r="E290" s="2"/>
      <c r="F290" s="2"/>
      <c r="G290" s="15"/>
      <c r="H290" s="15"/>
      <c r="I290" s="15"/>
      <c r="J290" s="15"/>
      <c r="K290" s="5" t="s">
        <v>69</v>
      </c>
      <c r="L290" s="5" t="s">
        <v>381</v>
      </c>
      <c r="M290" s="5" t="s">
        <v>22</v>
      </c>
      <c r="N290" s="15">
        <v>422.84</v>
      </c>
      <c r="O290" s="15"/>
      <c r="P290" s="85">
        <v>422.84</v>
      </c>
      <c r="Q290" s="93">
        <v>330.42</v>
      </c>
      <c r="R290" s="89">
        <f>P290-Q290</f>
        <v>92.42</v>
      </c>
    </row>
    <row r="291" spans="1:18" s="1" customFormat="1" ht="15.75">
      <c r="A291" s="39">
        <v>139</v>
      </c>
      <c r="B291" s="51" t="s">
        <v>384</v>
      </c>
      <c r="C291" s="2"/>
      <c r="D291" s="2"/>
      <c r="E291" s="2"/>
      <c r="F291" s="2"/>
      <c r="G291" s="15"/>
      <c r="H291" s="15"/>
      <c r="I291" s="15"/>
      <c r="J291" s="15"/>
      <c r="K291" s="5" t="s">
        <v>69</v>
      </c>
      <c r="L291" s="5" t="s">
        <v>383</v>
      </c>
      <c r="M291" s="5"/>
      <c r="N291" s="15">
        <f>N292</f>
        <v>900</v>
      </c>
      <c r="O291" s="15">
        <f>O292</f>
        <v>0</v>
      </c>
      <c r="P291" s="85">
        <f>P292</f>
        <v>900</v>
      </c>
      <c r="Q291" s="85">
        <f>Q292</f>
        <v>155.2</v>
      </c>
      <c r="R291" s="85">
        <f>R292</f>
        <v>744.8</v>
      </c>
    </row>
    <row r="292" spans="1:18" s="1" customFormat="1" ht="31.5">
      <c r="A292" s="39">
        <v>140</v>
      </c>
      <c r="B292" s="58" t="s">
        <v>348</v>
      </c>
      <c r="C292" s="2"/>
      <c r="D292" s="2"/>
      <c r="E292" s="2"/>
      <c r="F292" s="2"/>
      <c r="G292" s="15"/>
      <c r="H292" s="15"/>
      <c r="I292" s="15"/>
      <c r="J292" s="15"/>
      <c r="K292" s="5" t="s">
        <v>69</v>
      </c>
      <c r="L292" s="5" t="s">
        <v>383</v>
      </c>
      <c r="M292" s="5" t="s">
        <v>22</v>
      </c>
      <c r="N292" s="15">
        <v>900</v>
      </c>
      <c r="O292" s="15"/>
      <c r="P292" s="85">
        <v>900</v>
      </c>
      <c r="Q292" s="93">
        <v>155.2</v>
      </c>
      <c r="R292" s="89">
        <f>P292-Q292</f>
        <v>744.8</v>
      </c>
    </row>
    <row r="293" spans="1:18" s="1" customFormat="1" ht="15.75">
      <c r="A293" s="39">
        <v>141</v>
      </c>
      <c r="B293" s="6" t="s">
        <v>71</v>
      </c>
      <c r="C293" s="3" t="e">
        <f>C294+#REF!</f>
        <v>#REF!</v>
      </c>
      <c r="D293" s="3" t="e">
        <f>D294+#REF!</f>
        <v>#REF!</v>
      </c>
      <c r="E293" s="3"/>
      <c r="F293" s="3"/>
      <c r="G293" s="15">
        <f>G294+G295+G296</f>
        <v>34301.61854</v>
      </c>
      <c r="H293" s="15">
        <f>H294+H295+H296</f>
        <v>0</v>
      </c>
      <c r="I293" s="15">
        <f>I294+I295+I296</f>
        <v>45.5</v>
      </c>
      <c r="J293" s="15">
        <f>J294+J295+J296</f>
        <v>0</v>
      </c>
      <c r="K293" s="5" t="s">
        <v>70</v>
      </c>
      <c r="L293" s="5"/>
      <c r="M293" s="5"/>
      <c r="N293" s="15">
        <f>N295+N297+N299</f>
        <v>37383.2812</v>
      </c>
      <c r="O293" s="15">
        <f>O295+O297+O299</f>
        <v>0</v>
      </c>
      <c r="P293" s="85">
        <f>P295+P297+P299</f>
        <v>41053.2812</v>
      </c>
      <c r="Q293" s="85">
        <f>Q295+Q297+Q299</f>
        <v>35233.26588</v>
      </c>
      <c r="R293" s="85">
        <f>R295+R297+R299</f>
        <v>5820.01532</v>
      </c>
    </row>
    <row r="294" spans="1:18" s="1" customFormat="1" ht="4.5" customHeight="1" hidden="1">
      <c r="A294" s="39">
        <v>140</v>
      </c>
      <c r="B294" s="6" t="s">
        <v>29</v>
      </c>
      <c r="C294" s="3">
        <v>7400</v>
      </c>
      <c r="D294" s="3">
        <v>7040</v>
      </c>
      <c r="E294" s="2" t="s">
        <v>222</v>
      </c>
      <c r="F294" s="3">
        <v>455</v>
      </c>
      <c r="G294" s="15">
        <v>6635.5</v>
      </c>
      <c r="H294" s="15"/>
      <c r="I294" s="15"/>
      <c r="J294" s="15"/>
      <c r="K294" s="5" t="s">
        <v>70</v>
      </c>
      <c r="L294" s="5"/>
      <c r="M294" s="5"/>
      <c r="N294" s="15" t="e">
        <f>#REF!</f>
        <v>#REF!</v>
      </c>
      <c r="O294" s="15" t="e">
        <f>#REF!</f>
        <v>#REF!</v>
      </c>
      <c r="P294" s="85" t="e">
        <f>#REF!</f>
        <v>#REF!</v>
      </c>
      <c r="Q294" s="85" t="e">
        <f>#REF!</f>
        <v>#REF!</v>
      </c>
      <c r="R294" s="85" t="e">
        <f>#REF!</f>
        <v>#REF!</v>
      </c>
    </row>
    <row r="295" spans="1:18" s="1" customFormat="1" ht="15.75">
      <c r="A295" s="39">
        <v>142</v>
      </c>
      <c r="B295" s="37" t="s">
        <v>386</v>
      </c>
      <c r="C295" s="2"/>
      <c r="D295" s="2"/>
      <c r="E295" s="2" t="s">
        <v>209</v>
      </c>
      <c r="F295" s="13" t="s">
        <v>276</v>
      </c>
      <c r="G295" s="15">
        <v>26786</v>
      </c>
      <c r="H295" s="15"/>
      <c r="I295" s="15">
        <v>45.5</v>
      </c>
      <c r="J295" s="15"/>
      <c r="K295" s="5" t="s">
        <v>70</v>
      </c>
      <c r="L295" s="5" t="s">
        <v>385</v>
      </c>
      <c r="M295" s="5"/>
      <c r="N295" s="15">
        <f>N296</f>
        <v>4328.9812</v>
      </c>
      <c r="O295" s="15">
        <f>O296</f>
        <v>0</v>
      </c>
      <c r="P295" s="85">
        <f>P296</f>
        <v>7998.9812</v>
      </c>
      <c r="Q295" s="85">
        <f>Q296</f>
        <v>3981.76588</v>
      </c>
      <c r="R295" s="85">
        <f>R296</f>
        <v>4017.21532</v>
      </c>
    </row>
    <row r="296" spans="1:18" s="1" customFormat="1" ht="31.5">
      <c r="A296" s="39">
        <v>143</v>
      </c>
      <c r="B296" s="58" t="s">
        <v>348</v>
      </c>
      <c r="C296" s="2"/>
      <c r="D296" s="2"/>
      <c r="E296" s="2" t="s">
        <v>283</v>
      </c>
      <c r="F296" s="2">
        <v>327</v>
      </c>
      <c r="G296" s="15">
        <v>880.11854</v>
      </c>
      <c r="H296" s="15"/>
      <c r="I296" s="15"/>
      <c r="J296" s="15"/>
      <c r="K296" s="5" t="s">
        <v>70</v>
      </c>
      <c r="L296" s="2">
        <v>4820000</v>
      </c>
      <c r="M296" s="2">
        <v>327</v>
      </c>
      <c r="N296" s="15">
        <f>3960+368.9812</f>
        <v>4328.9812</v>
      </c>
      <c r="O296" s="15"/>
      <c r="P296" s="85">
        <f>3960+368.9812+3670</f>
        <v>7998.9812</v>
      </c>
      <c r="Q296" s="93">
        <v>3981.76588</v>
      </c>
      <c r="R296" s="89">
        <f>P296-Q296</f>
        <v>4017.21532</v>
      </c>
    </row>
    <row r="297" spans="1:18" s="1" customFormat="1" ht="31.5">
      <c r="A297" s="36">
        <v>144</v>
      </c>
      <c r="B297" s="55" t="s">
        <v>388</v>
      </c>
      <c r="C297" s="2"/>
      <c r="D297" s="2"/>
      <c r="E297" s="2"/>
      <c r="F297" s="2"/>
      <c r="G297" s="15">
        <f>G298</f>
        <v>118.501</v>
      </c>
      <c r="H297" s="15">
        <f>H298</f>
        <v>0</v>
      </c>
      <c r="I297" s="15">
        <f>I298</f>
        <v>-118.501</v>
      </c>
      <c r="J297" s="15">
        <f>J298</f>
        <v>0</v>
      </c>
      <c r="K297" s="5" t="s">
        <v>70</v>
      </c>
      <c r="L297" s="5" t="s">
        <v>387</v>
      </c>
      <c r="M297" s="5"/>
      <c r="N297" s="15">
        <f>N298</f>
        <v>33054.3</v>
      </c>
      <c r="O297" s="15">
        <f>O298</f>
        <v>0</v>
      </c>
      <c r="P297" s="85">
        <f>P298</f>
        <v>33054.3</v>
      </c>
      <c r="Q297" s="85">
        <f>Q298</f>
        <v>31251.5</v>
      </c>
      <c r="R297" s="85">
        <f>R298</f>
        <v>1802.8</v>
      </c>
    </row>
    <row r="298" spans="1:18" s="1" customFormat="1" ht="31.5">
      <c r="A298" s="39">
        <v>145</v>
      </c>
      <c r="B298" s="55" t="s">
        <v>380</v>
      </c>
      <c r="C298" s="2"/>
      <c r="D298" s="2"/>
      <c r="E298" s="2" t="s">
        <v>240</v>
      </c>
      <c r="F298" s="2">
        <v>816</v>
      </c>
      <c r="G298" s="15">
        <v>118.501</v>
      </c>
      <c r="H298" s="15"/>
      <c r="I298" s="15">
        <v>-118.501</v>
      </c>
      <c r="J298" s="15"/>
      <c r="K298" s="5" t="s">
        <v>70</v>
      </c>
      <c r="L298" s="5" t="s">
        <v>387</v>
      </c>
      <c r="M298" s="5" t="s">
        <v>276</v>
      </c>
      <c r="N298" s="15">
        <f>32082.7+971.6</f>
        <v>33054.3</v>
      </c>
      <c r="O298" s="15"/>
      <c r="P298" s="85">
        <f>32082.7+971.6</f>
        <v>33054.3</v>
      </c>
      <c r="Q298" s="93">
        <v>31251.5</v>
      </c>
      <c r="R298" s="89">
        <f>P298-Q298</f>
        <v>1802.8</v>
      </c>
    </row>
    <row r="299" spans="1:18" s="1" customFormat="1" ht="15.75" hidden="1">
      <c r="A299" s="39"/>
      <c r="B299" s="62" t="s">
        <v>310</v>
      </c>
      <c r="C299" s="2"/>
      <c r="D299" s="2"/>
      <c r="E299" s="2"/>
      <c r="F299" s="2"/>
      <c r="G299" s="15"/>
      <c r="H299" s="15"/>
      <c r="I299" s="15"/>
      <c r="J299" s="15"/>
      <c r="K299" s="5" t="s">
        <v>70</v>
      </c>
      <c r="L299" s="5" t="s">
        <v>362</v>
      </c>
      <c r="M299" s="5"/>
      <c r="N299" s="15">
        <f>N300</f>
        <v>0</v>
      </c>
      <c r="O299" s="15">
        <f>O300</f>
        <v>0</v>
      </c>
      <c r="P299" s="85">
        <f>P300</f>
        <v>0</v>
      </c>
      <c r="Q299" s="93"/>
      <c r="R299" s="93"/>
    </row>
    <row r="300" spans="1:18" s="1" customFormat="1" ht="31.5" hidden="1">
      <c r="A300" s="39"/>
      <c r="B300" s="55" t="s">
        <v>380</v>
      </c>
      <c r="C300" s="2"/>
      <c r="D300" s="2"/>
      <c r="E300" s="2"/>
      <c r="F300" s="2"/>
      <c r="G300" s="15"/>
      <c r="H300" s="15"/>
      <c r="I300" s="15"/>
      <c r="J300" s="15"/>
      <c r="K300" s="5" t="s">
        <v>70</v>
      </c>
      <c r="L300" s="5" t="s">
        <v>362</v>
      </c>
      <c r="M300" s="5" t="s">
        <v>276</v>
      </c>
      <c r="N300" s="15">
        <f>5920-1112.6-4807.4</f>
        <v>0</v>
      </c>
      <c r="O300" s="15"/>
      <c r="P300" s="85">
        <f>5920-1112.6-4807.4</f>
        <v>0</v>
      </c>
      <c r="Q300" s="93"/>
      <c r="R300" s="93"/>
    </row>
    <row r="301" spans="1:18" s="1" customFormat="1" ht="21" customHeight="1">
      <c r="A301" s="39">
        <v>146</v>
      </c>
      <c r="B301" s="6" t="s">
        <v>421</v>
      </c>
      <c r="C301" s="2"/>
      <c r="D301" s="2"/>
      <c r="E301" s="2"/>
      <c r="F301" s="2"/>
      <c r="G301" s="15"/>
      <c r="H301" s="15"/>
      <c r="I301" s="15"/>
      <c r="J301" s="15"/>
      <c r="K301" s="5" t="s">
        <v>420</v>
      </c>
      <c r="L301" s="5"/>
      <c r="M301" s="5"/>
      <c r="N301" s="15">
        <f>N302+N304</f>
        <v>7205.4</v>
      </c>
      <c r="O301" s="15">
        <f>O302+O304</f>
        <v>0</v>
      </c>
      <c r="P301" s="85">
        <f>P302+P304</f>
        <v>6323.4</v>
      </c>
      <c r="Q301" s="85">
        <f>Q302+Q304</f>
        <v>6099.46103</v>
      </c>
      <c r="R301" s="85">
        <f>R302+R304</f>
        <v>223.93897</v>
      </c>
    </row>
    <row r="302" spans="1:18" s="1" customFormat="1" ht="31.5">
      <c r="A302" s="39">
        <v>147</v>
      </c>
      <c r="B302" s="9" t="s">
        <v>299</v>
      </c>
      <c r="C302" s="8"/>
      <c r="D302" s="8"/>
      <c r="E302" s="2"/>
      <c r="F302" s="7"/>
      <c r="G302" s="15"/>
      <c r="H302" s="15"/>
      <c r="I302" s="15"/>
      <c r="J302" s="15"/>
      <c r="K302" s="5" t="s">
        <v>420</v>
      </c>
      <c r="L302" s="5" t="s">
        <v>127</v>
      </c>
      <c r="M302" s="5"/>
      <c r="N302" s="15">
        <f>N303</f>
        <v>2398</v>
      </c>
      <c r="O302" s="15">
        <f>O303</f>
        <v>0</v>
      </c>
      <c r="P302" s="85">
        <f>P303</f>
        <v>2151</v>
      </c>
      <c r="Q302" s="85">
        <f>Q303</f>
        <v>2086.28702</v>
      </c>
      <c r="R302" s="85">
        <f>R303</f>
        <v>64.71298</v>
      </c>
    </row>
    <row r="303" spans="1:18" s="1" customFormat="1" ht="15.75">
      <c r="A303" s="39">
        <v>148</v>
      </c>
      <c r="B303" s="9" t="s">
        <v>301</v>
      </c>
      <c r="C303" s="2"/>
      <c r="D303" s="2"/>
      <c r="E303" s="2"/>
      <c r="F303" s="13"/>
      <c r="G303" s="15"/>
      <c r="H303" s="15"/>
      <c r="I303" s="15"/>
      <c r="J303" s="15"/>
      <c r="K303" s="5" t="s">
        <v>420</v>
      </c>
      <c r="L303" s="5" t="s">
        <v>127</v>
      </c>
      <c r="M303" s="5" t="s">
        <v>168</v>
      </c>
      <c r="N303" s="15">
        <f>2257+141</f>
        <v>2398</v>
      </c>
      <c r="O303" s="15"/>
      <c r="P303" s="85">
        <f>2257+141-240-7</f>
        <v>2151</v>
      </c>
      <c r="Q303" s="93">
        <v>2086.28702</v>
      </c>
      <c r="R303" s="89">
        <f>P303-Q303</f>
        <v>64.71298</v>
      </c>
    </row>
    <row r="304" spans="1:18" s="1" customFormat="1" ht="31.5">
      <c r="A304" s="39">
        <v>149</v>
      </c>
      <c r="B304" s="9" t="s">
        <v>455</v>
      </c>
      <c r="C304" s="8"/>
      <c r="D304" s="8"/>
      <c r="E304" s="2"/>
      <c r="F304" s="13"/>
      <c r="G304" s="15"/>
      <c r="H304" s="15"/>
      <c r="I304" s="15"/>
      <c r="J304" s="15"/>
      <c r="K304" s="5" t="s">
        <v>420</v>
      </c>
      <c r="L304" s="5" t="s">
        <v>454</v>
      </c>
      <c r="M304" s="5"/>
      <c r="N304" s="15">
        <f>N305</f>
        <v>4807.4</v>
      </c>
      <c r="O304" s="15">
        <f>O305</f>
        <v>0</v>
      </c>
      <c r="P304" s="85">
        <f>P305</f>
        <v>4172.4</v>
      </c>
      <c r="Q304" s="85">
        <f>Q305</f>
        <v>4013.17401</v>
      </c>
      <c r="R304" s="85">
        <f>R305</f>
        <v>159.22599</v>
      </c>
    </row>
    <row r="305" spans="1:18" s="1" customFormat="1" ht="31.5">
      <c r="A305" s="39">
        <v>150</v>
      </c>
      <c r="B305" s="55" t="s">
        <v>380</v>
      </c>
      <c r="C305" s="8"/>
      <c r="D305" s="8"/>
      <c r="E305" s="2"/>
      <c r="F305" s="13"/>
      <c r="G305" s="15"/>
      <c r="H305" s="15"/>
      <c r="I305" s="15"/>
      <c r="J305" s="15"/>
      <c r="K305" s="5" t="s">
        <v>420</v>
      </c>
      <c r="L305" s="5" t="s">
        <v>454</v>
      </c>
      <c r="M305" s="5" t="s">
        <v>276</v>
      </c>
      <c r="N305" s="15">
        <v>4807.4</v>
      </c>
      <c r="O305" s="15"/>
      <c r="P305" s="85">
        <f>4807.4-635</f>
        <v>4172.4</v>
      </c>
      <c r="Q305" s="93">
        <v>4013.17401</v>
      </c>
      <c r="R305" s="89">
        <f>P305-Q305</f>
        <v>159.22599</v>
      </c>
    </row>
    <row r="306" spans="1:18" ht="21" customHeight="1">
      <c r="A306" s="39">
        <v>151</v>
      </c>
      <c r="B306" s="30" t="s">
        <v>2</v>
      </c>
      <c r="C306" s="31" t="e">
        <f>#REF!+C320+C346+C347</f>
        <v>#REF!</v>
      </c>
      <c r="D306" s="31" t="e">
        <f>#REF!+D320+D346+D347</f>
        <v>#REF!</v>
      </c>
      <c r="E306" s="31"/>
      <c r="F306" s="31"/>
      <c r="G306" s="28" t="e">
        <f>#REF!+#REF!+G320+G346</f>
        <v>#REF!</v>
      </c>
      <c r="H306" s="28" t="e">
        <f>#REF!+#REF!+H320+H346</f>
        <v>#REF!</v>
      </c>
      <c r="I306" s="28" t="e">
        <f>#REF!+#REF!+I320+I346</f>
        <v>#REF!</v>
      </c>
      <c r="J306" s="28" t="e">
        <f>#REF!+#REF!+J320+J346</f>
        <v>#REF!</v>
      </c>
      <c r="K306" s="29" t="s">
        <v>74</v>
      </c>
      <c r="L306" s="29"/>
      <c r="M306" s="29"/>
      <c r="N306" s="28">
        <f>N320+N346+N314+N311+N351</f>
        <v>357134.63237</v>
      </c>
      <c r="O306" s="28">
        <f>O320+O346+O314+O311+O351</f>
        <v>-8127.734</v>
      </c>
      <c r="P306" s="84">
        <f>P320+P346+P314+P311+P351</f>
        <v>328329.90751</v>
      </c>
      <c r="Q306" s="84">
        <f>Q320+Q346+Q314+Q311+Q351</f>
        <v>298710.20088</v>
      </c>
      <c r="R306" s="84">
        <f>R320+R346+R314+R311+R351</f>
        <v>29619.70663</v>
      </c>
    </row>
    <row r="307" spans="1:18" s="1" customFormat="1" ht="0" customHeight="1" hidden="1">
      <c r="A307" s="66">
        <v>151</v>
      </c>
      <c r="B307" s="6" t="s">
        <v>30</v>
      </c>
      <c r="C307" s="3">
        <v>4617</v>
      </c>
      <c r="D307" s="3">
        <v>4808</v>
      </c>
      <c r="E307" s="3" t="s">
        <v>173</v>
      </c>
      <c r="F307" s="3">
        <v>327</v>
      </c>
      <c r="G307" s="15">
        <v>5477.194</v>
      </c>
      <c r="H307" s="15"/>
      <c r="I307" s="15"/>
      <c r="J307" s="15">
        <v>132.075</v>
      </c>
      <c r="K307" s="5" t="s">
        <v>75</v>
      </c>
      <c r="L307" s="5"/>
      <c r="M307" s="5"/>
      <c r="N307" s="15" t="e">
        <f>#REF!</f>
        <v>#REF!</v>
      </c>
      <c r="O307" s="15" t="e">
        <f>#REF!</f>
        <v>#REF!</v>
      </c>
      <c r="P307" s="85" t="e">
        <f>#REF!</f>
        <v>#REF!</v>
      </c>
      <c r="Q307" s="85" t="e">
        <f>#REF!</f>
        <v>#REF!</v>
      </c>
      <c r="R307" s="85" t="e">
        <f>#REF!</f>
        <v>#REF!</v>
      </c>
    </row>
    <row r="308" spans="1:18" s="1" customFormat="1" ht="21" customHeight="1" hidden="1">
      <c r="A308" s="39">
        <v>152</v>
      </c>
      <c r="B308" s="6" t="s">
        <v>39</v>
      </c>
      <c r="C308" s="3">
        <v>424</v>
      </c>
      <c r="D308" s="3">
        <v>545</v>
      </c>
      <c r="E308" s="3" t="s">
        <v>145</v>
      </c>
      <c r="F308" s="3" t="s">
        <v>115</v>
      </c>
      <c r="G308" s="15"/>
      <c r="H308" s="15"/>
      <c r="I308" s="15"/>
      <c r="J308" s="15"/>
      <c r="K308" s="5" t="s">
        <v>75</v>
      </c>
      <c r="L308" s="5"/>
      <c r="M308" s="5"/>
      <c r="N308" s="15" t="e">
        <f>#REF!</f>
        <v>#REF!</v>
      </c>
      <c r="O308" s="15" t="e">
        <f>#REF!</f>
        <v>#REF!</v>
      </c>
      <c r="P308" s="85" t="e">
        <f>#REF!</f>
        <v>#REF!</v>
      </c>
      <c r="Q308" s="85" t="e">
        <f>#REF!</f>
        <v>#REF!</v>
      </c>
      <c r="R308" s="85" t="e">
        <f>#REF!</f>
        <v>#REF!</v>
      </c>
    </row>
    <row r="309" spans="1:18" s="1" customFormat="1" ht="21" customHeight="1" hidden="1">
      <c r="A309" s="39">
        <v>153</v>
      </c>
      <c r="B309" s="6" t="s">
        <v>30</v>
      </c>
      <c r="C309" s="3">
        <v>4617</v>
      </c>
      <c r="D309" s="3">
        <v>4808</v>
      </c>
      <c r="E309" s="3" t="s">
        <v>173</v>
      </c>
      <c r="F309" s="3">
        <v>810</v>
      </c>
      <c r="G309" s="15">
        <v>260</v>
      </c>
      <c r="H309" s="15"/>
      <c r="I309" s="15"/>
      <c r="J309" s="15"/>
      <c r="K309" s="5" t="s">
        <v>75</v>
      </c>
      <c r="L309" s="5"/>
      <c r="M309" s="5"/>
      <c r="N309" s="15" t="e">
        <f>#REF!</f>
        <v>#REF!</v>
      </c>
      <c r="O309" s="15" t="e">
        <f>#REF!</f>
        <v>#REF!</v>
      </c>
      <c r="P309" s="85" t="e">
        <f>#REF!</f>
        <v>#REF!</v>
      </c>
      <c r="Q309" s="85" t="e">
        <f>#REF!</f>
        <v>#REF!</v>
      </c>
      <c r="R309" s="85" t="e">
        <f>#REF!</f>
        <v>#REF!</v>
      </c>
    </row>
    <row r="310" spans="1:18" s="1" customFormat="1" ht="21" customHeight="1" hidden="1">
      <c r="A310" s="39">
        <v>154</v>
      </c>
      <c r="B310" s="6" t="s">
        <v>39</v>
      </c>
      <c r="C310" s="3"/>
      <c r="D310" s="3"/>
      <c r="E310" s="3" t="s">
        <v>173</v>
      </c>
      <c r="F310" s="3">
        <v>327</v>
      </c>
      <c r="G310" s="15">
        <v>584</v>
      </c>
      <c r="H310" s="15"/>
      <c r="I310" s="15"/>
      <c r="J310" s="15"/>
      <c r="K310" s="5" t="s">
        <v>75</v>
      </c>
      <c r="L310" s="5"/>
      <c r="M310" s="5"/>
      <c r="N310" s="15" t="e">
        <f>#REF!</f>
        <v>#REF!</v>
      </c>
      <c r="O310" s="15" t="e">
        <f>#REF!</f>
        <v>#REF!</v>
      </c>
      <c r="P310" s="85" t="e">
        <f>#REF!</f>
        <v>#REF!</v>
      </c>
      <c r="Q310" s="85" t="e">
        <f>#REF!</f>
        <v>#REF!</v>
      </c>
      <c r="R310" s="85" t="e">
        <f>#REF!</f>
        <v>#REF!</v>
      </c>
    </row>
    <row r="311" spans="1:18" s="1" customFormat="1" ht="21" customHeight="1">
      <c r="A311" s="39">
        <v>152</v>
      </c>
      <c r="B311" s="35" t="s">
        <v>422</v>
      </c>
      <c r="C311" s="3"/>
      <c r="D311" s="3"/>
      <c r="E311" s="3"/>
      <c r="F311" s="3"/>
      <c r="G311" s="15"/>
      <c r="H311" s="15"/>
      <c r="I311" s="15"/>
      <c r="J311" s="15"/>
      <c r="K311" s="5" t="s">
        <v>423</v>
      </c>
      <c r="L311" s="5"/>
      <c r="M311" s="5"/>
      <c r="N311" s="15">
        <f aca="true" t="shared" si="8" ref="N311:R312">N312</f>
        <v>2800</v>
      </c>
      <c r="O311" s="15">
        <f t="shared" si="8"/>
        <v>0</v>
      </c>
      <c r="P311" s="85">
        <f t="shared" si="8"/>
        <v>2350</v>
      </c>
      <c r="Q311" s="85">
        <f t="shared" si="8"/>
        <v>2318.30211</v>
      </c>
      <c r="R311" s="85">
        <f t="shared" si="8"/>
        <v>31.69789</v>
      </c>
    </row>
    <row r="312" spans="1:18" s="1" customFormat="1" ht="21" customHeight="1">
      <c r="A312" s="39">
        <v>153</v>
      </c>
      <c r="B312" s="33" t="s">
        <v>425</v>
      </c>
      <c r="C312" s="3"/>
      <c r="D312" s="3"/>
      <c r="E312" s="3"/>
      <c r="F312" s="3"/>
      <c r="G312" s="15"/>
      <c r="H312" s="15"/>
      <c r="I312" s="15"/>
      <c r="J312" s="15"/>
      <c r="K312" s="5" t="s">
        <v>423</v>
      </c>
      <c r="L312" s="5" t="s">
        <v>424</v>
      </c>
      <c r="M312" s="5"/>
      <c r="N312" s="15">
        <f t="shared" si="8"/>
        <v>2800</v>
      </c>
      <c r="O312" s="15">
        <f t="shared" si="8"/>
        <v>0</v>
      </c>
      <c r="P312" s="85">
        <f t="shared" si="8"/>
        <v>2350</v>
      </c>
      <c r="Q312" s="85">
        <f t="shared" si="8"/>
        <v>2318.30211</v>
      </c>
      <c r="R312" s="85">
        <f t="shared" si="8"/>
        <v>31.69789</v>
      </c>
    </row>
    <row r="313" spans="1:18" s="1" customFormat="1" ht="31.5" customHeight="1">
      <c r="A313" s="39">
        <v>154</v>
      </c>
      <c r="B313" s="32" t="s">
        <v>427</v>
      </c>
      <c r="C313" s="3"/>
      <c r="D313" s="3"/>
      <c r="E313" s="3"/>
      <c r="F313" s="3"/>
      <c r="G313" s="15"/>
      <c r="H313" s="15"/>
      <c r="I313" s="15"/>
      <c r="J313" s="15"/>
      <c r="K313" s="3">
        <v>1001</v>
      </c>
      <c r="L313" s="5" t="s">
        <v>424</v>
      </c>
      <c r="M313" s="5" t="s">
        <v>426</v>
      </c>
      <c r="N313" s="15">
        <v>2800</v>
      </c>
      <c r="O313" s="15"/>
      <c r="P313" s="85">
        <f>2800-450</f>
        <v>2350</v>
      </c>
      <c r="Q313" s="93">
        <v>2318.30211</v>
      </c>
      <c r="R313" s="89">
        <f>P313-Q313</f>
        <v>31.69789</v>
      </c>
    </row>
    <row r="314" spans="1:18" s="1" customFormat="1" ht="21" customHeight="1">
      <c r="A314" s="39">
        <v>155</v>
      </c>
      <c r="B314" s="37" t="s">
        <v>402</v>
      </c>
      <c r="C314" s="3"/>
      <c r="D314" s="3"/>
      <c r="E314" s="3"/>
      <c r="F314" s="3"/>
      <c r="G314" s="15"/>
      <c r="H314" s="15"/>
      <c r="I314" s="15"/>
      <c r="J314" s="15"/>
      <c r="K314" s="5" t="s">
        <v>75</v>
      </c>
      <c r="L314" s="5"/>
      <c r="M314" s="5"/>
      <c r="N314" s="15">
        <f>N315+N317</f>
        <v>16762.6</v>
      </c>
      <c r="O314" s="15">
        <f>O315+O317</f>
        <v>0</v>
      </c>
      <c r="P314" s="85">
        <f>P315+P317</f>
        <v>17214.3</v>
      </c>
      <c r="Q314" s="85">
        <f>Q315+Q317</f>
        <v>17129.70802</v>
      </c>
      <c r="R314" s="85">
        <f>R315+R317</f>
        <v>84.59198</v>
      </c>
    </row>
    <row r="315" spans="1:18" s="1" customFormat="1" ht="21" customHeight="1">
      <c r="A315" s="39">
        <v>156</v>
      </c>
      <c r="B315" s="51" t="s">
        <v>404</v>
      </c>
      <c r="C315" s="3"/>
      <c r="D315" s="3"/>
      <c r="E315" s="3"/>
      <c r="F315" s="3"/>
      <c r="G315" s="15"/>
      <c r="H315" s="15"/>
      <c r="I315" s="15"/>
      <c r="J315" s="15"/>
      <c r="K315" s="5" t="s">
        <v>75</v>
      </c>
      <c r="L315" s="5" t="s">
        <v>403</v>
      </c>
      <c r="M315" s="5"/>
      <c r="N315" s="15">
        <f>N316</f>
        <v>8107</v>
      </c>
      <c r="O315" s="15">
        <f>O316</f>
        <v>0</v>
      </c>
      <c r="P315" s="85">
        <f>P316</f>
        <v>8211.1</v>
      </c>
      <c r="Q315" s="85">
        <f>Q316</f>
        <v>8193.25134</v>
      </c>
      <c r="R315" s="85">
        <f>R316</f>
        <v>17.84866</v>
      </c>
    </row>
    <row r="316" spans="1:18" s="1" customFormat="1" ht="33" customHeight="1">
      <c r="A316" s="39">
        <v>157</v>
      </c>
      <c r="B316" s="58" t="s">
        <v>348</v>
      </c>
      <c r="C316" s="3"/>
      <c r="D316" s="3"/>
      <c r="E316" s="3"/>
      <c r="F316" s="3"/>
      <c r="G316" s="15"/>
      <c r="H316" s="15"/>
      <c r="I316" s="15"/>
      <c r="J316" s="15"/>
      <c r="K316" s="5" t="s">
        <v>75</v>
      </c>
      <c r="L316" s="5" t="s">
        <v>403</v>
      </c>
      <c r="M316" s="5" t="s">
        <v>22</v>
      </c>
      <c r="N316" s="15">
        <f>8050+57</f>
        <v>8107</v>
      </c>
      <c r="O316" s="15"/>
      <c r="P316" s="85">
        <f>8050+57+104.1</f>
        <v>8211.1</v>
      </c>
      <c r="Q316" s="93">
        <v>8193.25134</v>
      </c>
      <c r="R316" s="89">
        <f>P316-Q316</f>
        <v>17.84866</v>
      </c>
    </row>
    <row r="317" spans="1:18" s="1" customFormat="1" ht="21" customHeight="1">
      <c r="A317" s="39">
        <v>158</v>
      </c>
      <c r="B317" s="51" t="s">
        <v>406</v>
      </c>
      <c r="C317" s="3"/>
      <c r="D317" s="3"/>
      <c r="E317" s="3"/>
      <c r="F317" s="3"/>
      <c r="G317" s="15"/>
      <c r="H317" s="15"/>
      <c r="I317" s="15"/>
      <c r="J317" s="15"/>
      <c r="K317" s="5" t="s">
        <v>75</v>
      </c>
      <c r="L317" s="5" t="s">
        <v>405</v>
      </c>
      <c r="M317" s="5"/>
      <c r="N317" s="15">
        <f>N318+N319</f>
        <v>8655.6</v>
      </c>
      <c r="O317" s="15">
        <f>O318+O319</f>
        <v>0</v>
      </c>
      <c r="P317" s="85">
        <f>P318+P319</f>
        <v>9003.2</v>
      </c>
      <c r="Q317" s="85">
        <f>Q318+Q319</f>
        <v>8936.45668</v>
      </c>
      <c r="R317" s="85">
        <f>R318+R319</f>
        <v>66.74332</v>
      </c>
    </row>
    <row r="318" spans="1:18" s="1" customFormat="1" ht="30" customHeight="1">
      <c r="A318" s="39">
        <v>159</v>
      </c>
      <c r="B318" s="58" t="s">
        <v>348</v>
      </c>
      <c r="C318" s="3"/>
      <c r="D318" s="3"/>
      <c r="E318" s="3"/>
      <c r="F318" s="3"/>
      <c r="G318" s="15"/>
      <c r="H318" s="15"/>
      <c r="I318" s="15"/>
      <c r="J318" s="15"/>
      <c r="K318" s="5" t="s">
        <v>75</v>
      </c>
      <c r="L318" s="5" t="s">
        <v>405</v>
      </c>
      <c r="M318" s="5" t="s">
        <v>22</v>
      </c>
      <c r="N318" s="15">
        <f>8305.6+90</f>
        <v>8395.6</v>
      </c>
      <c r="O318" s="15"/>
      <c r="P318" s="85">
        <f>8305.6+90+129.1</f>
        <v>8524.7</v>
      </c>
      <c r="Q318" s="93">
        <f>1020.55431+82.5+7367.27503</f>
        <v>8470.32934</v>
      </c>
      <c r="R318" s="89">
        <f>P318-Q318</f>
        <v>54.37066</v>
      </c>
    </row>
    <row r="319" spans="1:18" s="1" customFormat="1" ht="30" customHeight="1">
      <c r="A319" s="39">
        <v>160</v>
      </c>
      <c r="B319" s="61" t="s">
        <v>352</v>
      </c>
      <c r="C319" s="3"/>
      <c r="D319" s="3"/>
      <c r="E319" s="3"/>
      <c r="F319" s="3"/>
      <c r="G319" s="15"/>
      <c r="H319" s="15"/>
      <c r="I319" s="15"/>
      <c r="J319" s="15"/>
      <c r="K319" s="5" t="s">
        <v>75</v>
      </c>
      <c r="L319" s="5" t="s">
        <v>405</v>
      </c>
      <c r="M319" s="5" t="s">
        <v>351</v>
      </c>
      <c r="N319" s="15">
        <v>260</v>
      </c>
      <c r="O319" s="15"/>
      <c r="P319" s="85">
        <f>260+119.5+99</f>
        <v>478.5</v>
      </c>
      <c r="Q319" s="93">
        <v>466.12734</v>
      </c>
      <c r="R319" s="89">
        <f>P319-Q319</f>
        <v>12.37266</v>
      </c>
    </row>
    <row r="320" spans="1:18" s="1" customFormat="1" ht="15.75">
      <c r="A320" s="39">
        <v>161</v>
      </c>
      <c r="B320" s="6" t="s">
        <v>196</v>
      </c>
      <c r="C320" s="3" t="e">
        <f>#REF!+#REF!+#REF!</f>
        <v>#REF!</v>
      </c>
      <c r="D320" s="3" t="e">
        <f>#REF!+#REF!+#REF!</f>
        <v>#REF!</v>
      </c>
      <c r="E320" s="3"/>
      <c r="F320" s="3"/>
      <c r="G320" s="15">
        <f>G321</f>
        <v>271877.45127</v>
      </c>
      <c r="H320" s="15">
        <f>H321</f>
        <v>0</v>
      </c>
      <c r="I320" s="15">
        <f>I321</f>
        <v>0</v>
      </c>
      <c r="J320" s="15">
        <f>J321</f>
        <v>0</v>
      </c>
      <c r="K320" s="5" t="s">
        <v>76</v>
      </c>
      <c r="L320" s="5"/>
      <c r="M320" s="5"/>
      <c r="N320" s="15">
        <f>N331+N343</f>
        <v>315952.66</v>
      </c>
      <c r="O320" s="15">
        <f>O331+O343</f>
        <v>-13100.734</v>
      </c>
      <c r="P320" s="85">
        <f>P331+P343</f>
        <v>282169.43514</v>
      </c>
      <c r="Q320" s="85">
        <f>Q331+Q343</f>
        <v>259492.602</v>
      </c>
      <c r="R320" s="85">
        <f>R331+R343</f>
        <v>22676.83314</v>
      </c>
    </row>
    <row r="321" spans="1:18" s="1" customFormat="1" ht="38.25" customHeight="1" hidden="1">
      <c r="A321" s="39">
        <v>161</v>
      </c>
      <c r="B321" s="6" t="s">
        <v>191</v>
      </c>
      <c r="C321" s="2"/>
      <c r="D321" s="2"/>
      <c r="E321" s="2"/>
      <c r="F321" s="2"/>
      <c r="G321" s="15">
        <f>G322+G323+G324+G325+G326+G327+G328+G329+G330+G331+G332</f>
        <v>271877.45127</v>
      </c>
      <c r="H321" s="15">
        <f>H322+H323+H324+H325+H326+H327+H328+H329+H330+H331+H332</f>
        <v>0</v>
      </c>
      <c r="I321" s="15">
        <f>I322+I323+I324+I325+I326+I327+I328+I329+I330+I331+I332</f>
        <v>0</v>
      </c>
      <c r="J321" s="15">
        <f>J322+J323+J324+J325+J326+J327+J328+J329+J330+J331+J332</f>
        <v>0</v>
      </c>
      <c r="K321" s="5"/>
      <c r="L321" s="5"/>
      <c r="M321" s="5"/>
      <c r="N321" s="15" t="e">
        <f>#REF!</f>
        <v>#REF!</v>
      </c>
      <c r="O321" s="15" t="e">
        <f>#REF!</f>
        <v>#REF!</v>
      </c>
      <c r="P321" s="85" t="e">
        <f>#REF!</f>
        <v>#REF!</v>
      </c>
      <c r="Q321" s="85" t="e">
        <f>#REF!</f>
        <v>#REF!</v>
      </c>
      <c r="R321" s="85" t="e">
        <f>#REF!</f>
        <v>#REF!</v>
      </c>
    </row>
    <row r="322" spans="1:18" s="1" customFormat="1" ht="38.25" customHeight="1" hidden="1">
      <c r="A322" s="39"/>
      <c r="B322" s="6" t="s">
        <v>192</v>
      </c>
      <c r="C322" s="2"/>
      <c r="D322" s="2"/>
      <c r="E322" s="2" t="s">
        <v>211</v>
      </c>
      <c r="F322" s="2">
        <v>563</v>
      </c>
      <c r="G322" s="15">
        <v>61849</v>
      </c>
      <c r="H322" s="15"/>
      <c r="I322" s="15">
        <v>-61849</v>
      </c>
      <c r="J322" s="15"/>
      <c r="K322" s="5"/>
      <c r="L322" s="5"/>
      <c r="M322" s="5"/>
      <c r="N322" s="15" t="e">
        <f>#REF!</f>
        <v>#REF!</v>
      </c>
      <c r="O322" s="15" t="e">
        <f>#REF!</f>
        <v>#REF!</v>
      </c>
      <c r="P322" s="85" t="e">
        <f>#REF!</f>
        <v>#REF!</v>
      </c>
      <c r="Q322" s="85" t="e">
        <f>#REF!</f>
        <v>#REF!</v>
      </c>
      <c r="R322" s="85" t="e">
        <f>#REF!</f>
        <v>#REF!</v>
      </c>
    </row>
    <row r="323" spans="1:18" s="1" customFormat="1" ht="38.25" customHeight="1" hidden="1">
      <c r="A323" s="39"/>
      <c r="B323" s="6" t="s">
        <v>193</v>
      </c>
      <c r="C323" s="2"/>
      <c r="D323" s="2"/>
      <c r="E323" s="2" t="s">
        <v>211</v>
      </c>
      <c r="F323" s="2">
        <v>565</v>
      </c>
      <c r="G323" s="15">
        <v>600</v>
      </c>
      <c r="H323" s="15"/>
      <c r="I323" s="15">
        <v>-600</v>
      </c>
      <c r="J323" s="15"/>
      <c r="K323" s="5"/>
      <c r="L323" s="5"/>
      <c r="M323" s="5"/>
      <c r="N323" s="15" t="e">
        <f>#REF!</f>
        <v>#REF!</v>
      </c>
      <c r="O323" s="15" t="e">
        <f>#REF!</f>
        <v>#REF!</v>
      </c>
      <c r="P323" s="85" t="e">
        <f>#REF!</f>
        <v>#REF!</v>
      </c>
      <c r="Q323" s="85" t="e">
        <f>#REF!</f>
        <v>#REF!</v>
      </c>
      <c r="R323" s="85" t="e">
        <f>#REF!</f>
        <v>#REF!</v>
      </c>
    </row>
    <row r="324" spans="1:18" s="1" customFormat="1" ht="39" customHeight="1" hidden="1">
      <c r="A324" s="39"/>
      <c r="B324" s="6" t="s">
        <v>194</v>
      </c>
      <c r="C324" s="2"/>
      <c r="D324" s="2"/>
      <c r="E324" s="2" t="s">
        <v>211</v>
      </c>
      <c r="F324" s="2">
        <v>749</v>
      </c>
      <c r="G324" s="15">
        <v>20630.45971</v>
      </c>
      <c r="H324" s="15"/>
      <c r="I324" s="15">
        <v>-20630.45971</v>
      </c>
      <c r="J324" s="15"/>
      <c r="K324" s="5"/>
      <c r="L324" s="5"/>
      <c r="M324" s="5"/>
      <c r="N324" s="15" t="e">
        <f>#REF!</f>
        <v>#REF!</v>
      </c>
      <c r="O324" s="15" t="e">
        <f>#REF!</f>
        <v>#REF!</v>
      </c>
      <c r="P324" s="85" t="e">
        <f>#REF!</f>
        <v>#REF!</v>
      </c>
      <c r="Q324" s="85" t="e">
        <f>#REF!</f>
        <v>#REF!</v>
      </c>
      <c r="R324" s="85" t="e">
        <f>#REF!</f>
        <v>#REF!</v>
      </c>
    </row>
    <row r="325" spans="1:18" s="1" customFormat="1" ht="38.25" customHeight="1" hidden="1">
      <c r="A325" s="39">
        <v>152</v>
      </c>
      <c r="B325" s="6" t="s">
        <v>200</v>
      </c>
      <c r="C325" s="3"/>
      <c r="D325" s="4"/>
      <c r="E325" s="2" t="s">
        <v>282</v>
      </c>
      <c r="F325" s="16" t="s">
        <v>281</v>
      </c>
      <c r="G325" s="15">
        <v>34926.99156</v>
      </c>
      <c r="H325" s="15"/>
      <c r="I325" s="15"/>
      <c r="J325" s="15"/>
      <c r="K325" s="5"/>
      <c r="L325" s="5"/>
      <c r="M325" s="5"/>
      <c r="N325" s="15" t="e">
        <f>#REF!</f>
        <v>#REF!</v>
      </c>
      <c r="O325" s="15" t="e">
        <f>#REF!</f>
        <v>#REF!</v>
      </c>
      <c r="P325" s="85" t="e">
        <f>#REF!</f>
        <v>#REF!</v>
      </c>
      <c r="Q325" s="85" t="e">
        <f>#REF!</f>
        <v>#REF!</v>
      </c>
      <c r="R325" s="85" t="e">
        <f>#REF!</f>
        <v>#REF!</v>
      </c>
    </row>
    <row r="326" spans="1:18" s="1" customFormat="1" ht="39" customHeight="1" hidden="1">
      <c r="A326" s="39">
        <v>160</v>
      </c>
      <c r="B326" s="6" t="s">
        <v>195</v>
      </c>
      <c r="C326" s="3"/>
      <c r="D326" s="4"/>
      <c r="E326" s="2" t="s">
        <v>211</v>
      </c>
      <c r="F326" s="16" t="s">
        <v>198</v>
      </c>
      <c r="G326" s="15">
        <v>116863</v>
      </c>
      <c r="H326" s="15"/>
      <c r="I326" s="15">
        <v>-116863</v>
      </c>
      <c r="J326" s="15"/>
      <c r="K326" s="5"/>
      <c r="L326" s="5"/>
      <c r="M326" s="5"/>
      <c r="N326" s="15" t="e">
        <f>#REF!</f>
        <v>#REF!</v>
      </c>
      <c r="O326" s="15" t="e">
        <f>#REF!</f>
        <v>#REF!</v>
      </c>
      <c r="P326" s="85" t="e">
        <f>#REF!</f>
        <v>#REF!</v>
      </c>
      <c r="Q326" s="85" t="e">
        <f>#REF!</f>
        <v>#REF!</v>
      </c>
      <c r="R326" s="85" t="e">
        <f>#REF!</f>
        <v>#REF!</v>
      </c>
    </row>
    <row r="327" spans="1:18" s="1" customFormat="1" ht="51" customHeight="1" hidden="1">
      <c r="A327" s="39">
        <v>161</v>
      </c>
      <c r="B327" s="34" t="s">
        <v>205</v>
      </c>
      <c r="C327" s="3"/>
      <c r="D327" s="4"/>
      <c r="E327" s="2" t="s">
        <v>211</v>
      </c>
      <c r="F327" s="16" t="s">
        <v>199</v>
      </c>
      <c r="G327" s="3">
        <v>0</v>
      </c>
      <c r="H327" s="3"/>
      <c r="I327" s="3"/>
      <c r="J327" s="3"/>
      <c r="K327" s="5"/>
      <c r="L327" s="5"/>
      <c r="M327" s="5"/>
      <c r="N327" s="15" t="e">
        <f>#REF!</f>
        <v>#REF!</v>
      </c>
      <c r="O327" s="15" t="e">
        <f>#REF!</f>
        <v>#REF!</v>
      </c>
      <c r="P327" s="85" t="e">
        <f>#REF!</f>
        <v>#REF!</v>
      </c>
      <c r="Q327" s="85" t="e">
        <f>#REF!</f>
        <v>#REF!</v>
      </c>
      <c r="R327" s="85" t="e">
        <f>#REF!</f>
        <v>#REF!</v>
      </c>
    </row>
    <row r="328" spans="1:18" s="1" customFormat="1" ht="50.25" customHeight="1" hidden="1">
      <c r="A328" s="39">
        <v>162</v>
      </c>
      <c r="B328" s="34" t="s">
        <v>204</v>
      </c>
      <c r="C328" s="3"/>
      <c r="D328" s="4"/>
      <c r="E328" s="2" t="s">
        <v>211</v>
      </c>
      <c r="F328" s="16" t="s">
        <v>201</v>
      </c>
      <c r="G328" s="15">
        <v>2298</v>
      </c>
      <c r="H328" s="15"/>
      <c r="I328" s="15">
        <v>-2298</v>
      </c>
      <c r="J328" s="15"/>
      <c r="K328" s="5"/>
      <c r="L328" s="5"/>
      <c r="M328" s="5"/>
      <c r="N328" s="15" t="e">
        <f>#REF!</f>
        <v>#REF!</v>
      </c>
      <c r="O328" s="15" t="e">
        <f>#REF!</f>
        <v>#REF!</v>
      </c>
      <c r="P328" s="85" t="e">
        <f>#REF!</f>
        <v>#REF!</v>
      </c>
      <c r="Q328" s="85" t="e">
        <f>#REF!</f>
        <v>#REF!</v>
      </c>
      <c r="R328" s="85" t="e">
        <f>#REF!</f>
        <v>#REF!</v>
      </c>
    </row>
    <row r="329" spans="1:18" s="1" customFormat="1" ht="102" customHeight="1" hidden="1">
      <c r="A329" s="39">
        <v>163</v>
      </c>
      <c r="B329" s="34" t="s">
        <v>238</v>
      </c>
      <c r="C329" s="3"/>
      <c r="D329" s="4"/>
      <c r="E329" s="2" t="s">
        <v>211</v>
      </c>
      <c r="F329" s="16" t="s">
        <v>202</v>
      </c>
      <c r="G329" s="15">
        <v>970</v>
      </c>
      <c r="H329" s="15"/>
      <c r="I329" s="15">
        <v>-970</v>
      </c>
      <c r="J329" s="15"/>
      <c r="K329" s="5"/>
      <c r="L329" s="5"/>
      <c r="M329" s="5"/>
      <c r="N329" s="15" t="e">
        <f>#REF!</f>
        <v>#REF!</v>
      </c>
      <c r="O329" s="15" t="e">
        <f>#REF!</f>
        <v>#REF!</v>
      </c>
      <c r="P329" s="85" t="e">
        <f>#REF!</f>
        <v>#REF!</v>
      </c>
      <c r="Q329" s="85" t="e">
        <f>#REF!</f>
        <v>#REF!</v>
      </c>
      <c r="R329" s="85" t="e">
        <f>#REF!</f>
        <v>#REF!</v>
      </c>
    </row>
    <row r="330" spans="1:18" s="1" customFormat="1" ht="105.75" customHeight="1" hidden="1">
      <c r="A330" s="39">
        <v>164</v>
      </c>
      <c r="B330" s="34" t="s">
        <v>239</v>
      </c>
      <c r="C330" s="3"/>
      <c r="D330" s="4"/>
      <c r="E330" s="2" t="s">
        <v>211</v>
      </c>
      <c r="F330" s="16" t="s">
        <v>203</v>
      </c>
      <c r="G330" s="15">
        <v>8838</v>
      </c>
      <c r="H330" s="15"/>
      <c r="I330" s="15">
        <v>-8838</v>
      </c>
      <c r="J330" s="15"/>
      <c r="K330" s="5"/>
      <c r="L330" s="5"/>
      <c r="M330" s="5"/>
      <c r="N330" s="15" t="e">
        <f>#REF!</f>
        <v>#REF!</v>
      </c>
      <c r="O330" s="15" t="e">
        <f>#REF!</f>
        <v>#REF!</v>
      </c>
      <c r="P330" s="85" t="e">
        <f>#REF!</f>
        <v>#REF!</v>
      </c>
      <c r="Q330" s="85" t="e">
        <f>#REF!</f>
        <v>#REF!</v>
      </c>
      <c r="R330" s="85" t="e">
        <f>#REF!</f>
        <v>#REF!</v>
      </c>
    </row>
    <row r="331" spans="1:18" s="1" customFormat="1" ht="15.75">
      <c r="A331" s="39">
        <v>162</v>
      </c>
      <c r="B331" s="6" t="s">
        <v>428</v>
      </c>
      <c r="C331" s="3"/>
      <c r="D331" s="4"/>
      <c r="E331" s="2" t="s">
        <v>211</v>
      </c>
      <c r="F331" s="16" t="s">
        <v>206</v>
      </c>
      <c r="G331" s="15">
        <v>24902</v>
      </c>
      <c r="H331" s="15"/>
      <c r="I331" s="15">
        <v>-24902</v>
      </c>
      <c r="J331" s="15"/>
      <c r="K331" s="5" t="s">
        <v>76</v>
      </c>
      <c r="L331" s="5" t="s">
        <v>145</v>
      </c>
      <c r="M331" s="5"/>
      <c r="N331" s="15">
        <f>N332+N333+N334+N335+N336+N337+N338+N339+N342+N341+N340</f>
        <v>304939.304</v>
      </c>
      <c r="O331" s="15">
        <f>O332+O333+O334+O335+O336+O337+O338+O339+O342+O341+O340</f>
        <v>-13100.734</v>
      </c>
      <c r="P331" s="85">
        <f>P332+P333+P334+P335+P336+P337+P338+P339+P342+P341+P340</f>
        <v>271300.67914</v>
      </c>
      <c r="Q331" s="85">
        <f>Q332+Q333+Q334+Q335+Q336+Q337+Q338+Q339+Q342+Q341+Q340</f>
        <v>248627.946</v>
      </c>
      <c r="R331" s="85">
        <f>R332+R333+R334+R335+R336+R337+R338+R339+R342+R341+R340</f>
        <v>22672.73314</v>
      </c>
    </row>
    <row r="332" spans="1:18" s="1" customFormat="1" ht="30.75" customHeight="1">
      <c r="A332" s="39">
        <v>163</v>
      </c>
      <c r="B332" s="47" t="s">
        <v>429</v>
      </c>
      <c r="C332" s="3"/>
      <c r="D332" s="4"/>
      <c r="E332" s="2" t="s">
        <v>211</v>
      </c>
      <c r="F332" s="16" t="s">
        <v>280</v>
      </c>
      <c r="G332" s="15">
        <v>0</v>
      </c>
      <c r="H332" s="15"/>
      <c r="I332" s="15">
        <v>236950.45971</v>
      </c>
      <c r="J332" s="15"/>
      <c r="K332" s="5" t="s">
        <v>76</v>
      </c>
      <c r="L332" s="5" t="s">
        <v>145</v>
      </c>
      <c r="M332" s="2">
        <v>572</v>
      </c>
      <c r="N332" s="15">
        <f>144445+63276.5</f>
        <v>207721.5</v>
      </c>
      <c r="O332" s="15">
        <v>-21119.3</v>
      </c>
      <c r="P332" s="85">
        <f>144445+63276.5-21119.3+7235-22718.8</f>
        <v>171118.4</v>
      </c>
      <c r="Q332" s="93">
        <v>166373.36582</v>
      </c>
      <c r="R332" s="89">
        <f aca="true" t="shared" si="9" ref="R332:R342">P332-Q332</f>
        <v>4745.03418</v>
      </c>
    </row>
    <row r="333" spans="1:18" s="1" customFormat="1" ht="51" customHeight="1" hidden="1">
      <c r="A333" s="39"/>
      <c r="B333" s="9" t="s">
        <v>431</v>
      </c>
      <c r="C333" s="3"/>
      <c r="D333" s="4"/>
      <c r="E333" s="2"/>
      <c r="F333" s="16"/>
      <c r="G333" s="15"/>
      <c r="H333" s="15"/>
      <c r="I333" s="15"/>
      <c r="J333" s="15"/>
      <c r="K333" s="5" t="s">
        <v>76</v>
      </c>
      <c r="L333" s="5" t="s">
        <v>145</v>
      </c>
      <c r="M333" s="2">
        <v>703</v>
      </c>
      <c r="N333" s="15">
        <f>340-340</f>
        <v>0</v>
      </c>
      <c r="O333" s="15"/>
      <c r="P333" s="85">
        <f>340-340</f>
        <v>0</v>
      </c>
      <c r="Q333" s="93"/>
      <c r="R333" s="89">
        <f t="shared" si="9"/>
        <v>0</v>
      </c>
    </row>
    <row r="334" spans="1:18" s="1" customFormat="1" ht="47.25">
      <c r="A334" s="39">
        <v>164</v>
      </c>
      <c r="B334" s="47" t="s">
        <v>432</v>
      </c>
      <c r="C334" s="3"/>
      <c r="D334" s="4"/>
      <c r="E334" s="2"/>
      <c r="F334" s="16"/>
      <c r="G334" s="15"/>
      <c r="H334" s="15"/>
      <c r="I334" s="15"/>
      <c r="J334" s="15"/>
      <c r="K334" s="5" t="s">
        <v>76</v>
      </c>
      <c r="L334" s="2" t="s">
        <v>145</v>
      </c>
      <c r="M334" s="2">
        <v>496</v>
      </c>
      <c r="N334" s="15">
        <v>315</v>
      </c>
      <c r="O334" s="15"/>
      <c r="P334" s="85">
        <v>315</v>
      </c>
      <c r="Q334" s="93">
        <v>249.11649</v>
      </c>
      <c r="R334" s="89">
        <f t="shared" si="9"/>
        <v>65.88351</v>
      </c>
    </row>
    <row r="335" spans="1:18" s="1" customFormat="1" ht="47.25">
      <c r="A335" s="39">
        <v>165</v>
      </c>
      <c r="B335" s="9" t="s">
        <v>433</v>
      </c>
      <c r="C335" s="3"/>
      <c r="D335" s="4"/>
      <c r="E335" s="2"/>
      <c r="F335" s="16"/>
      <c r="G335" s="15"/>
      <c r="H335" s="15"/>
      <c r="I335" s="15"/>
      <c r="J335" s="15"/>
      <c r="K335" s="5" t="s">
        <v>76</v>
      </c>
      <c r="L335" s="2" t="s">
        <v>145</v>
      </c>
      <c r="M335" s="2">
        <v>749</v>
      </c>
      <c r="N335" s="15">
        <v>18749.7</v>
      </c>
      <c r="O335" s="15"/>
      <c r="P335" s="85">
        <v>18749.7</v>
      </c>
      <c r="Q335" s="93">
        <v>16131.65436</v>
      </c>
      <c r="R335" s="89">
        <f t="shared" si="9"/>
        <v>2618.04564</v>
      </c>
    </row>
    <row r="336" spans="1:18" s="1" customFormat="1" ht="63">
      <c r="A336" s="39">
        <v>166</v>
      </c>
      <c r="B336" s="9" t="s">
        <v>434</v>
      </c>
      <c r="C336" s="3"/>
      <c r="D336" s="4"/>
      <c r="E336" s="2"/>
      <c r="F336" s="16"/>
      <c r="G336" s="15"/>
      <c r="H336" s="15"/>
      <c r="I336" s="15"/>
      <c r="J336" s="15"/>
      <c r="K336" s="5" t="s">
        <v>76</v>
      </c>
      <c r="L336" s="2" t="s">
        <v>145</v>
      </c>
      <c r="M336" s="2">
        <v>494</v>
      </c>
      <c r="N336" s="15">
        <v>82.9</v>
      </c>
      <c r="O336" s="15"/>
      <c r="P336" s="85">
        <v>82.9</v>
      </c>
      <c r="Q336" s="93">
        <v>11.90589</v>
      </c>
      <c r="R336" s="89">
        <f t="shared" si="9"/>
        <v>70.99411</v>
      </c>
    </row>
    <row r="337" spans="1:18" s="1" customFormat="1" ht="31.5">
      <c r="A337" s="39">
        <v>167</v>
      </c>
      <c r="B337" s="9" t="s">
        <v>435</v>
      </c>
      <c r="C337" s="3"/>
      <c r="D337" s="4"/>
      <c r="E337" s="2"/>
      <c r="F337" s="16"/>
      <c r="G337" s="15"/>
      <c r="H337" s="15"/>
      <c r="I337" s="15"/>
      <c r="J337" s="15"/>
      <c r="K337" s="5" t="s">
        <v>76</v>
      </c>
      <c r="L337" s="2" t="s">
        <v>145</v>
      </c>
      <c r="M337" s="2">
        <v>611</v>
      </c>
      <c r="N337" s="15">
        <v>41004.3</v>
      </c>
      <c r="O337" s="15"/>
      <c r="P337" s="85">
        <v>41004.3</v>
      </c>
      <c r="Q337" s="93">
        <v>27618.025</v>
      </c>
      <c r="R337" s="89">
        <f t="shared" si="9"/>
        <v>13386.275</v>
      </c>
    </row>
    <row r="338" spans="1:18" s="1" customFormat="1" ht="15.75">
      <c r="A338" s="36">
        <v>168</v>
      </c>
      <c r="B338" s="49" t="s">
        <v>430</v>
      </c>
      <c r="C338" s="3"/>
      <c r="D338" s="4"/>
      <c r="E338" s="2"/>
      <c r="F338" s="16"/>
      <c r="G338" s="15"/>
      <c r="H338" s="15"/>
      <c r="I338" s="15"/>
      <c r="J338" s="15"/>
      <c r="K338" s="5" t="s">
        <v>76</v>
      </c>
      <c r="L338" s="2" t="s">
        <v>145</v>
      </c>
      <c r="M338" s="2">
        <v>483</v>
      </c>
      <c r="N338" s="15">
        <f>272.5+850+3500+104.6+488.4+5352+460+277.5+118.5+10.5+340+31.504</f>
        <v>11805.504</v>
      </c>
      <c r="O338" s="15">
        <v>18.566</v>
      </c>
      <c r="P338" s="85">
        <f>272.5+850+3500+104.6+488.4+5352+460+277.5+118.5+10.5+340+31.504+18.566-5.09086-261.1-922.5+70-70-3.4</f>
        <v>10631.97914</v>
      </c>
      <c r="Q338" s="93">
        <v>10582.07299</v>
      </c>
      <c r="R338" s="89">
        <f t="shared" si="9"/>
        <v>49.90615</v>
      </c>
    </row>
    <row r="339" spans="1:18" s="1" customFormat="1" ht="31.5">
      <c r="A339" s="36">
        <v>169</v>
      </c>
      <c r="B339" s="6" t="s">
        <v>449</v>
      </c>
      <c r="C339" s="3"/>
      <c r="D339" s="4"/>
      <c r="E339" s="2"/>
      <c r="F339" s="16"/>
      <c r="G339" s="15"/>
      <c r="H339" s="15"/>
      <c r="I339" s="15"/>
      <c r="J339" s="15"/>
      <c r="K339" s="5" t="s">
        <v>76</v>
      </c>
      <c r="L339" s="5" t="s">
        <v>145</v>
      </c>
      <c r="M339" s="2">
        <v>807</v>
      </c>
      <c r="N339" s="15">
        <f>11535.7-1400</f>
        <v>10135.7</v>
      </c>
      <c r="O339" s="15"/>
      <c r="P339" s="85">
        <f>11535.7-1400-6887.3-70+70</f>
        <v>3248.4</v>
      </c>
      <c r="Q339" s="93">
        <v>3248.4</v>
      </c>
      <c r="R339" s="89">
        <f t="shared" si="9"/>
        <v>0</v>
      </c>
    </row>
    <row r="340" spans="1:18" s="1" customFormat="1" ht="47.25">
      <c r="A340" s="36">
        <v>170</v>
      </c>
      <c r="B340" s="6" t="s">
        <v>453</v>
      </c>
      <c r="C340" s="3"/>
      <c r="D340" s="4"/>
      <c r="E340" s="2"/>
      <c r="F340" s="16"/>
      <c r="G340" s="15"/>
      <c r="H340" s="15"/>
      <c r="I340" s="15"/>
      <c r="J340" s="15"/>
      <c r="K340" s="5" t="s">
        <v>76</v>
      </c>
      <c r="L340" s="5" t="s">
        <v>145</v>
      </c>
      <c r="M340" s="2">
        <v>811</v>
      </c>
      <c r="N340" s="15">
        <v>1400</v>
      </c>
      <c r="O340" s="15"/>
      <c r="P340" s="85">
        <v>1400</v>
      </c>
      <c r="Q340" s="93">
        <v>1400</v>
      </c>
      <c r="R340" s="89">
        <f t="shared" si="9"/>
        <v>0</v>
      </c>
    </row>
    <row r="341" spans="1:18" s="1" customFormat="1" ht="78.75" hidden="1">
      <c r="A341" s="36"/>
      <c r="B341" s="63" t="s">
        <v>452</v>
      </c>
      <c r="C341" s="3"/>
      <c r="D341" s="4"/>
      <c r="E341" s="2"/>
      <c r="F341" s="16"/>
      <c r="G341" s="15"/>
      <c r="H341" s="15"/>
      <c r="I341" s="15"/>
      <c r="J341" s="15"/>
      <c r="K341" s="5" t="s">
        <v>76</v>
      </c>
      <c r="L341" s="5" t="s">
        <v>145</v>
      </c>
      <c r="M341" s="2">
        <v>562</v>
      </c>
      <c r="N341" s="15">
        <f>5.504+11+15-31.504</f>
        <v>0</v>
      </c>
      <c r="O341" s="15"/>
      <c r="P341" s="85">
        <f>5.504+11+15-31.504</f>
        <v>0</v>
      </c>
      <c r="Q341" s="93"/>
      <c r="R341" s="89">
        <f t="shared" si="9"/>
        <v>0</v>
      </c>
    </row>
    <row r="342" spans="1:18" s="1" customFormat="1" ht="21" customHeight="1">
      <c r="A342" s="36">
        <v>171</v>
      </c>
      <c r="B342" s="49" t="s">
        <v>436</v>
      </c>
      <c r="C342" s="3"/>
      <c r="D342" s="4"/>
      <c r="E342" s="2"/>
      <c r="F342" s="16"/>
      <c r="G342" s="15"/>
      <c r="H342" s="15"/>
      <c r="I342" s="15"/>
      <c r="J342" s="15"/>
      <c r="K342" s="5" t="s">
        <v>76</v>
      </c>
      <c r="L342" s="5" t="s">
        <v>145</v>
      </c>
      <c r="M342" s="2">
        <v>563</v>
      </c>
      <c r="N342" s="15">
        <v>13724.7</v>
      </c>
      <c r="O342" s="15">
        <v>8000</v>
      </c>
      <c r="P342" s="85">
        <f>13724.7+8000+3025.3</f>
        <v>24750</v>
      </c>
      <c r="Q342" s="93">
        <v>23013.40545</v>
      </c>
      <c r="R342" s="89">
        <f t="shared" si="9"/>
        <v>1736.59455</v>
      </c>
    </row>
    <row r="343" spans="1:18" s="1" customFormat="1" ht="31.5">
      <c r="A343" s="36">
        <v>172</v>
      </c>
      <c r="B343" s="63" t="s">
        <v>460</v>
      </c>
      <c r="C343" s="3"/>
      <c r="D343" s="4"/>
      <c r="E343" s="2"/>
      <c r="F343" s="16"/>
      <c r="G343" s="15"/>
      <c r="H343" s="15"/>
      <c r="I343" s="15"/>
      <c r="J343" s="15"/>
      <c r="K343" s="5" t="s">
        <v>76</v>
      </c>
      <c r="L343" s="5" t="s">
        <v>459</v>
      </c>
      <c r="M343" s="2"/>
      <c r="N343" s="15">
        <f>N344+N345</f>
        <v>11013.356</v>
      </c>
      <c r="O343" s="15">
        <f>O344+O345</f>
        <v>0</v>
      </c>
      <c r="P343" s="85">
        <f>P344+P345</f>
        <v>10868.756</v>
      </c>
      <c r="Q343" s="85">
        <f>Q344+Q345</f>
        <v>10864.656</v>
      </c>
      <c r="R343" s="85">
        <f>R344+R345</f>
        <v>4.1</v>
      </c>
    </row>
    <row r="344" spans="1:18" s="1" customFormat="1" ht="63">
      <c r="A344" s="36">
        <v>173</v>
      </c>
      <c r="B344" s="9" t="s">
        <v>431</v>
      </c>
      <c r="C344" s="3"/>
      <c r="D344" s="4"/>
      <c r="E344" s="2"/>
      <c r="F344" s="16"/>
      <c r="G344" s="15"/>
      <c r="H344" s="15"/>
      <c r="I344" s="15"/>
      <c r="J344" s="15"/>
      <c r="K344" s="5" t="s">
        <v>76</v>
      </c>
      <c r="L344" s="5" t="s">
        <v>459</v>
      </c>
      <c r="M344" s="2">
        <v>703</v>
      </c>
      <c r="N344" s="15">
        <v>280</v>
      </c>
      <c r="O344" s="15"/>
      <c r="P344" s="85">
        <f>280-144.6</f>
        <v>135.4</v>
      </c>
      <c r="Q344" s="93">
        <v>131.3</v>
      </c>
      <c r="R344" s="89">
        <f>P344-Q344</f>
        <v>4.1</v>
      </c>
    </row>
    <row r="345" spans="1:18" s="1" customFormat="1" ht="15.75">
      <c r="A345" s="36">
        <v>174</v>
      </c>
      <c r="B345" s="9" t="s">
        <v>442</v>
      </c>
      <c r="C345" s="3"/>
      <c r="D345" s="4"/>
      <c r="E345" s="2"/>
      <c r="F345" s="16"/>
      <c r="G345" s="15"/>
      <c r="H345" s="15"/>
      <c r="I345" s="15"/>
      <c r="J345" s="15"/>
      <c r="K345" s="5" t="s">
        <v>76</v>
      </c>
      <c r="L345" s="5" t="s">
        <v>459</v>
      </c>
      <c r="M345" s="2">
        <v>482</v>
      </c>
      <c r="N345" s="15">
        <v>10733.356</v>
      </c>
      <c r="O345" s="15"/>
      <c r="P345" s="85">
        <v>10733.356</v>
      </c>
      <c r="Q345" s="85">
        <v>10733.356</v>
      </c>
      <c r="R345" s="89">
        <f>P345-Q345</f>
        <v>0</v>
      </c>
    </row>
    <row r="346" spans="1:18" s="1" customFormat="1" ht="31.5">
      <c r="A346" s="36">
        <v>175</v>
      </c>
      <c r="B346" s="6" t="s">
        <v>79</v>
      </c>
      <c r="C346" s="3" t="e">
        <f>#REF!</f>
        <v>#REF!</v>
      </c>
      <c r="D346" s="3" t="e">
        <f>#REF!</f>
        <v>#REF!</v>
      </c>
      <c r="E346" s="3"/>
      <c r="F346" s="3"/>
      <c r="G346" s="15">
        <f>G350</f>
        <v>6098</v>
      </c>
      <c r="H346" s="15">
        <f>H350</f>
        <v>0</v>
      </c>
      <c r="I346" s="15">
        <f>I350</f>
        <v>0</v>
      </c>
      <c r="J346" s="15">
        <f>J350</f>
        <v>0</v>
      </c>
      <c r="K346" s="5" t="s">
        <v>78</v>
      </c>
      <c r="L346" s="2"/>
      <c r="M346" s="2"/>
      <c r="N346" s="15">
        <f>N349</f>
        <v>6692</v>
      </c>
      <c r="O346" s="15">
        <f>O349</f>
        <v>300</v>
      </c>
      <c r="P346" s="85">
        <f>P349</f>
        <v>6992</v>
      </c>
      <c r="Q346" s="85">
        <f>Q349</f>
        <v>6992</v>
      </c>
      <c r="R346" s="85">
        <f>R349</f>
        <v>0</v>
      </c>
    </row>
    <row r="347" spans="1:18" s="1" customFormat="1" ht="15.75" customHeight="1" hidden="1">
      <c r="A347" s="36">
        <v>175</v>
      </c>
      <c r="B347" s="6" t="s">
        <v>114</v>
      </c>
      <c r="C347" s="3">
        <f>C348+C349</f>
        <v>0</v>
      </c>
      <c r="D347" s="3">
        <f>D348+D349</f>
        <v>10281</v>
      </c>
      <c r="E347" s="3"/>
      <c r="F347" s="3"/>
      <c r="G347" s="15"/>
      <c r="H347" s="15"/>
      <c r="I347" s="15"/>
      <c r="J347" s="15"/>
      <c r="K347" s="5" t="s">
        <v>80</v>
      </c>
      <c r="L347" s="5"/>
      <c r="M347" s="5"/>
      <c r="N347" s="15" t="e">
        <f>#REF!</f>
        <v>#REF!</v>
      </c>
      <c r="O347" s="15" t="e">
        <f>#REF!</f>
        <v>#REF!</v>
      </c>
      <c r="P347" s="85" t="e">
        <f>#REF!</f>
        <v>#REF!</v>
      </c>
      <c r="Q347" s="85" t="e">
        <f>#REF!</f>
        <v>#REF!</v>
      </c>
      <c r="R347" s="85" t="e">
        <f>#REF!</f>
        <v>#REF!</v>
      </c>
    </row>
    <row r="348" spans="1:18" ht="31.5" hidden="1">
      <c r="A348" s="36">
        <v>180</v>
      </c>
      <c r="B348" s="6" t="s">
        <v>77</v>
      </c>
      <c r="C348" s="3"/>
      <c r="D348" s="4">
        <v>8361</v>
      </c>
      <c r="E348" s="2" t="s">
        <v>127</v>
      </c>
      <c r="F348" s="16" t="s">
        <v>168</v>
      </c>
      <c r="G348" s="15"/>
      <c r="H348" s="15"/>
      <c r="I348" s="15"/>
      <c r="J348" s="15"/>
      <c r="K348" s="5" t="s">
        <v>80</v>
      </c>
      <c r="L348" s="5"/>
      <c r="M348" s="5"/>
      <c r="N348" s="15" t="e">
        <f>#REF!</f>
        <v>#REF!</v>
      </c>
      <c r="O348" s="15" t="e">
        <f>#REF!</f>
        <v>#REF!</v>
      </c>
      <c r="P348" s="85" t="e">
        <f>#REF!</f>
        <v>#REF!</v>
      </c>
      <c r="Q348" s="85" t="e">
        <f>#REF!</f>
        <v>#REF!</v>
      </c>
      <c r="R348" s="85" t="e">
        <f>#REF!</f>
        <v>#REF!</v>
      </c>
    </row>
    <row r="349" spans="1:18" ht="31.5">
      <c r="A349" s="36">
        <v>176</v>
      </c>
      <c r="B349" s="47" t="s">
        <v>393</v>
      </c>
      <c r="C349" s="3"/>
      <c r="D349" s="4">
        <v>1920</v>
      </c>
      <c r="E349" s="2" t="s">
        <v>127</v>
      </c>
      <c r="F349" s="16" t="s">
        <v>168</v>
      </c>
      <c r="G349" s="15"/>
      <c r="H349" s="15"/>
      <c r="I349" s="15"/>
      <c r="J349" s="15"/>
      <c r="K349" s="5" t="s">
        <v>78</v>
      </c>
      <c r="L349" s="5" t="s">
        <v>392</v>
      </c>
      <c r="M349" s="5"/>
      <c r="N349" s="15">
        <f>N350</f>
        <v>6692</v>
      </c>
      <c r="O349" s="15">
        <f>O350</f>
        <v>300</v>
      </c>
      <c r="P349" s="85">
        <f>P350</f>
        <v>6992</v>
      </c>
      <c r="Q349" s="85">
        <f>Q350</f>
        <v>6992</v>
      </c>
      <c r="R349" s="85">
        <f>R350</f>
        <v>0</v>
      </c>
    </row>
    <row r="350" spans="1:18" ht="15.75">
      <c r="A350" s="36">
        <v>177</v>
      </c>
      <c r="B350" s="37" t="s">
        <v>394</v>
      </c>
      <c r="C350" s="2">
        <v>6253</v>
      </c>
      <c r="D350" s="2">
        <v>7098</v>
      </c>
      <c r="E350" s="2" t="s">
        <v>144</v>
      </c>
      <c r="F350" s="16" t="s">
        <v>279</v>
      </c>
      <c r="G350" s="15">
        <v>6098</v>
      </c>
      <c r="H350" s="15"/>
      <c r="I350" s="15"/>
      <c r="J350" s="15"/>
      <c r="K350" s="5" t="s">
        <v>78</v>
      </c>
      <c r="L350" s="5" t="s">
        <v>392</v>
      </c>
      <c r="M350" s="5" t="s">
        <v>279</v>
      </c>
      <c r="N350" s="15">
        <v>6692</v>
      </c>
      <c r="O350" s="15">
        <v>300</v>
      </c>
      <c r="P350" s="85">
        <f>6692+300</f>
        <v>6992</v>
      </c>
      <c r="Q350" s="93">
        <v>6992</v>
      </c>
      <c r="R350" s="89">
        <f>P350-Q350</f>
        <v>0</v>
      </c>
    </row>
    <row r="351" spans="1:18" ht="15.75">
      <c r="A351" s="36">
        <v>178</v>
      </c>
      <c r="B351" s="6" t="s">
        <v>114</v>
      </c>
      <c r="C351" s="2"/>
      <c r="D351" s="2"/>
      <c r="E351" s="2"/>
      <c r="F351" s="16"/>
      <c r="G351" s="15"/>
      <c r="H351" s="15"/>
      <c r="I351" s="15"/>
      <c r="J351" s="15"/>
      <c r="K351" s="5" t="s">
        <v>80</v>
      </c>
      <c r="L351" s="5"/>
      <c r="M351" s="5"/>
      <c r="N351" s="15">
        <f>N352+N354</f>
        <v>14927.37237</v>
      </c>
      <c r="O351" s="15">
        <f>O352+O354</f>
        <v>4673</v>
      </c>
      <c r="P351" s="85">
        <f>P352+P354</f>
        <v>19604.17237</v>
      </c>
      <c r="Q351" s="85">
        <f>Q352+Q354</f>
        <v>12777.58875</v>
      </c>
      <c r="R351" s="85">
        <f>R352+R354</f>
        <v>6826.58362</v>
      </c>
    </row>
    <row r="352" spans="1:18" ht="31.5">
      <c r="A352" s="36">
        <v>179</v>
      </c>
      <c r="B352" s="9" t="s">
        <v>299</v>
      </c>
      <c r="C352" s="2"/>
      <c r="D352" s="2"/>
      <c r="E352" s="2"/>
      <c r="F352" s="16"/>
      <c r="G352" s="15"/>
      <c r="H352" s="15"/>
      <c r="I352" s="15"/>
      <c r="J352" s="15"/>
      <c r="K352" s="5" t="s">
        <v>80</v>
      </c>
      <c r="L352" s="5" t="s">
        <v>300</v>
      </c>
      <c r="M352" s="5"/>
      <c r="N352" s="15">
        <f>N353</f>
        <v>12848</v>
      </c>
      <c r="O352" s="15">
        <f>O353</f>
        <v>4673</v>
      </c>
      <c r="P352" s="85">
        <f>P353</f>
        <v>17524.8</v>
      </c>
      <c r="Q352" s="85">
        <f>Q353</f>
        <v>12762.95115</v>
      </c>
      <c r="R352" s="85">
        <f>R353</f>
        <v>4761.84885</v>
      </c>
    </row>
    <row r="353" spans="1:18" ht="15.75">
      <c r="A353" s="36">
        <v>180</v>
      </c>
      <c r="B353" s="9" t="s">
        <v>301</v>
      </c>
      <c r="C353" s="2"/>
      <c r="D353" s="2"/>
      <c r="E353" s="2"/>
      <c r="F353" s="16"/>
      <c r="G353" s="15"/>
      <c r="H353" s="15"/>
      <c r="I353" s="15"/>
      <c r="J353" s="15"/>
      <c r="K353" s="5" t="s">
        <v>80</v>
      </c>
      <c r="L353" s="5" t="s">
        <v>300</v>
      </c>
      <c r="M353" s="5" t="s">
        <v>168</v>
      </c>
      <c r="N353" s="15">
        <v>12848</v>
      </c>
      <c r="O353" s="15">
        <v>4673</v>
      </c>
      <c r="P353" s="85">
        <f>12848+4673+3.8</f>
        <v>17524.8</v>
      </c>
      <c r="Q353" s="93">
        <v>12762.95115</v>
      </c>
      <c r="R353" s="89">
        <f>P353-Q353</f>
        <v>4761.84885</v>
      </c>
    </row>
    <row r="354" spans="1:18" ht="15.75">
      <c r="A354" s="36">
        <v>181</v>
      </c>
      <c r="B354" s="6" t="s">
        <v>428</v>
      </c>
      <c r="C354" s="2"/>
      <c r="D354" s="2"/>
      <c r="E354" s="2"/>
      <c r="F354" s="16"/>
      <c r="G354" s="15"/>
      <c r="H354" s="15"/>
      <c r="I354" s="15"/>
      <c r="J354" s="15"/>
      <c r="K354" s="5" t="s">
        <v>80</v>
      </c>
      <c r="L354" s="2" t="s">
        <v>145</v>
      </c>
      <c r="M354" s="5"/>
      <c r="N354" s="15">
        <f>N355</f>
        <v>2079.37237</v>
      </c>
      <c r="O354" s="15">
        <f>O355</f>
        <v>0</v>
      </c>
      <c r="P354" s="85">
        <f>P355</f>
        <v>2079.37237</v>
      </c>
      <c r="Q354" s="85">
        <f>Q355</f>
        <v>14.6376</v>
      </c>
      <c r="R354" s="85">
        <f>R355</f>
        <v>2064.73477</v>
      </c>
    </row>
    <row r="355" spans="1:18" ht="31.5">
      <c r="A355" s="36">
        <v>182</v>
      </c>
      <c r="B355" s="62" t="s">
        <v>437</v>
      </c>
      <c r="C355" s="2"/>
      <c r="D355" s="2"/>
      <c r="E355" s="2"/>
      <c r="F355" s="16"/>
      <c r="G355" s="15"/>
      <c r="H355" s="15"/>
      <c r="I355" s="15"/>
      <c r="J355" s="15"/>
      <c r="K355" s="5" t="s">
        <v>80</v>
      </c>
      <c r="L355" s="2" t="s">
        <v>145</v>
      </c>
      <c r="M355" s="3">
        <v>606</v>
      </c>
      <c r="N355" s="15">
        <f>2079.372+0.00037</f>
        <v>2079.37237</v>
      </c>
      <c r="O355" s="15"/>
      <c r="P355" s="85">
        <f>2079.372+0.00037</f>
        <v>2079.37237</v>
      </c>
      <c r="Q355" s="93">
        <v>14.6376</v>
      </c>
      <c r="R355" s="89">
        <f>P355-Q355</f>
        <v>2064.73477</v>
      </c>
    </row>
    <row r="356" spans="1:18" ht="15.75">
      <c r="A356" s="36">
        <v>183</v>
      </c>
      <c r="B356" s="19" t="s">
        <v>3</v>
      </c>
      <c r="C356" s="4" t="e">
        <f>C10+#REF!+C82+C118+C150+C189+C235+C273+C306</f>
        <v>#REF!</v>
      </c>
      <c r="D356" s="4" t="e">
        <f>D10+#REF!+D82+D118+D150+D189+D235+D273+D306</f>
        <v>#REF!</v>
      </c>
      <c r="E356" s="2"/>
      <c r="F356" s="3"/>
      <c r="G356" s="15" t="e">
        <f>G10+G82+G118+G150+G181+G189+G235+G273+G306</f>
        <v>#REF!</v>
      </c>
      <c r="H356" s="15" t="e">
        <f>H10+H82+H118+H150+H181+H189+H235+H273+H306</f>
        <v>#REF!</v>
      </c>
      <c r="I356" s="15" t="e">
        <f>I10+I82+I118+I150+I181+I189+I235+I273+I306</f>
        <v>#REF!</v>
      </c>
      <c r="J356" s="15" t="e">
        <f>J10+J82+J118+J150+J181+J189+J235+J273+J306</f>
        <v>#REF!</v>
      </c>
      <c r="K356" s="5"/>
      <c r="L356" s="5"/>
      <c r="M356" s="5"/>
      <c r="N356" s="28">
        <f>N10+N82+N118+N150+N181+N189+N235+N273+N306</f>
        <v>2493966.22483</v>
      </c>
      <c r="O356" s="28">
        <f>O10+O82+O118+O150+O181+O189+O235+O273+O306</f>
        <v>-6026.032</v>
      </c>
      <c r="P356" s="84">
        <f>P10+P82+P118+P150+P181+P189+P235+P273+P306</f>
        <v>2466079.40437</v>
      </c>
      <c r="Q356" s="84">
        <f>Q10+Q82+Q118+Q150+Q181+Q189+Q235+Q273+Q306</f>
        <v>2106353.10531</v>
      </c>
      <c r="R356" s="84">
        <f>R10+R82+R118+R150+R181+R189+R235+R273+R306</f>
        <v>358726.29906</v>
      </c>
    </row>
    <row r="357" spans="1:16" ht="15.75">
      <c r="A357" s="36"/>
      <c r="N357" s="64"/>
      <c r="O357" s="64">
        <v>-6026.032</v>
      </c>
      <c r="P357" s="91"/>
    </row>
    <row r="358" spans="1:16" ht="15.75">
      <c r="A358" s="70"/>
      <c r="N358" s="64">
        <f>N356-N357</f>
        <v>2493966.22483</v>
      </c>
      <c r="O358" s="64">
        <f>O356-O357</f>
        <v>0</v>
      </c>
      <c r="P358" s="91"/>
    </row>
    <row r="360" spans="14:16" ht="15.75">
      <c r="N360" s="64"/>
      <c r="O360" s="64"/>
      <c r="P360" s="91"/>
    </row>
    <row r="362" ht="15.75">
      <c r="P362" s="91"/>
    </row>
    <row r="363" ht="15.75">
      <c r="I363" s="64" t="e">
        <f>H356+I356+J356</f>
        <v>#REF!</v>
      </c>
    </row>
    <row r="370" ht="15.75">
      <c r="D370" s="65"/>
    </row>
  </sheetData>
  <mergeCells count="19">
    <mergeCell ref="A5:R5"/>
    <mergeCell ref="Q8:Q9"/>
    <mergeCell ref="R8:R9"/>
    <mergeCell ref="B2:F2"/>
    <mergeCell ref="C8:C9"/>
    <mergeCell ref="J8:J9"/>
    <mergeCell ref="K8:K9"/>
    <mergeCell ref="E8:E9"/>
    <mergeCell ref="F8:F9"/>
    <mergeCell ref="B8:B9"/>
    <mergeCell ref="A8:A9"/>
    <mergeCell ref="M8:M9"/>
    <mergeCell ref="P8:P9"/>
    <mergeCell ref="H8:H9"/>
    <mergeCell ref="I8:I9"/>
    <mergeCell ref="L8:L9"/>
    <mergeCell ref="O8:O9"/>
    <mergeCell ref="N8:N9"/>
    <mergeCell ref="G8:G9"/>
  </mergeCells>
  <printOptions/>
  <pageMargins left="0.5905511811023623" right="0" top="0.3937007874015748" bottom="0.3937007874015748" header="0.03937007874015748" footer="0"/>
  <pageSetup blackAndWhite="1" horizontalDpi="300" verticalDpi="300" orientation="portrait" paperSize="9" scale="70" r:id="rId1"/>
  <headerFooter alignWithMargins="0"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2007-03-30T06:19:13Z</cp:lastPrinted>
  <dcterms:created xsi:type="dcterms:W3CDTF">2000-12-19T06:01:59Z</dcterms:created>
  <dcterms:modified xsi:type="dcterms:W3CDTF">2007-06-04T07:47:57Z</dcterms:modified>
  <cp:category/>
  <cp:version/>
  <cp:contentType/>
  <cp:contentStatus/>
</cp:coreProperties>
</file>